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Website\"/>
    </mc:Choice>
  </mc:AlternateContent>
  <bookViews>
    <workbookView xWindow="13845" yWindow="15" windowWidth="14730" windowHeight="13335" tabRatio="782" activeTab="1"/>
  </bookViews>
  <sheets>
    <sheet name="About..." sheetId="65" r:id="rId1"/>
    <sheet name="Base Case" sheetId="66" r:id="rId2"/>
    <sheet name="Report" sheetId="72" r:id="rId3"/>
    <sheet name="Tables" sheetId="70" r:id="rId4"/>
  </sheets>
  <definedNames>
    <definedName name="BMDischargeType" localSheetId="1">Tables!$F$3:$F$4</definedName>
    <definedName name="MotorSpeedType" localSheetId="1">Tables!$A$3:$A$4</definedName>
    <definedName name="MotorTransmissionType" localSheetId="1">Tables!$D$3:$D$6</definedName>
    <definedName name="MotorType" localSheetId="1">Tables!$B$3:$B$7</definedName>
    <definedName name="_xlnm.Print_Area" localSheetId="1">'Base Case'!$A$1:$O$51</definedName>
    <definedName name="_xlnm.Print_Area" localSheetId="2">Report!$A$1:$J$41</definedName>
    <definedName name="SelectDesignPoint">#REF!</definedName>
    <definedName name="solver_adj" localSheetId="1" hidden="1">'Base Case'!$G$11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'Base Case'!$F$49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K32" i="66" l="1"/>
  <c r="K31" i="66"/>
  <c r="C35" i="66" l="1"/>
  <c r="G29" i="72" l="1"/>
  <c r="F29" i="72" s="1"/>
  <c r="G28" i="72"/>
  <c r="F28" i="72" s="1"/>
  <c r="B35" i="72"/>
  <c r="B21" i="72" l="1"/>
  <c r="H29" i="72"/>
  <c r="H28" i="72"/>
  <c r="I9" i="72"/>
  <c r="I8" i="72"/>
  <c r="I7" i="72"/>
  <c r="J47" i="66" l="1"/>
  <c r="J46" i="66"/>
  <c r="F47" i="66"/>
  <c r="C46" i="66" l="1"/>
  <c r="C40" i="66"/>
  <c r="H47" i="66" l="1"/>
  <c r="I47" i="66"/>
  <c r="M26" i="70" l="1"/>
  <c r="G47" i="66" l="1"/>
  <c r="C36" i="72" s="1"/>
  <c r="G46" i="66"/>
  <c r="C35" i="72" s="1"/>
  <c r="F46" i="66"/>
  <c r="H46" i="66" s="1"/>
  <c r="I32" i="66"/>
  <c r="I31" i="66"/>
  <c r="L47" i="66" l="1"/>
  <c r="Q35" i="66"/>
  <c r="K47" i="66" l="1"/>
  <c r="H36" i="72"/>
  <c r="G36" i="72" s="1"/>
  <c r="L89" i="65"/>
  <c r="L88" i="65"/>
  <c r="L87" i="65"/>
  <c r="L86" i="65"/>
  <c r="L85" i="65"/>
  <c r="L84" i="65"/>
  <c r="L83" i="65"/>
  <c r="L82" i="65"/>
  <c r="L81" i="65"/>
  <c r="L80" i="65"/>
  <c r="L79" i="65"/>
  <c r="L78" i="65"/>
  <c r="L92" i="65" l="1"/>
  <c r="L91" i="65"/>
  <c r="L90" i="65"/>
  <c r="C22" i="66" l="1"/>
  <c r="C21" i="66"/>
  <c r="B28" i="72" l="1"/>
  <c r="E12" i="72"/>
  <c r="C31" i="66"/>
  <c r="C20" i="66"/>
  <c r="H18" i="66"/>
  <c r="M29" i="70" l="1"/>
  <c r="M28" i="70"/>
  <c r="L32" i="70" l="1"/>
  <c r="M32" i="70"/>
  <c r="C28" i="72"/>
  <c r="F22" i="72"/>
  <c r="C22" i="72"/>
  <c r="E21" i="72"/>
  <c r="F21" i="72"/>
  <c r="C21" i="72"/>
  <c r="E10" i="72"/>
  <c r="E9" i="72"/>
  <c r="E8" i="72"/>
  <c r="E7" i="72"/>
  <c r="K32" i="70" l="1"/>
  <c r="C29" i="72" l="1"/>
  <c r="E36" i="72" l="1"/>
  <c r="G20" i="66" l="1"/>
  <c r="H6" i="70" l="1"/>
  <c r="H7" i="70" l="1"/>
  <c r="H8" i="70" l="1"/>
  <c r="R36" i="66"/>
  <c r="Q36" i="66"/>
  <c r="P36" i="66"/>
  <c r="R35" i="66"/>
  <c r="P35" i="66"/>
  <c r="H9" i="70" l="1"/>
  <c r="S36" i="66"/>
  <c r="L36" i="66" s="1"/>
  <c r="S35" i="66"/>
  <c r="L35" i="66" s="1"/>
  <c r="I46" i="66" s="1"/>
  <c r="L46" i="66" l="1"/>
  <c r="H10" i="70"/>
  <c r="K46" i="66" l="1"/>
  <c r="H35" i="72"/>
  <c r="G35" i="72" s="1"/>
  <c r="H11" i="70"/>
  <c r="H12" i="70" l="1"/>
  <c r="H13" i="70" l="1"/>
  <c r="H14" i="70" l="1"/>
  <c r="H15" i="70" l="1"/>
  <c r="H16" i="70" l="1"/>
  <c r="H17" i="70" l="1"/>
  <c r="H18" i="70" l="1"/>
  <c r="H19" i="70" l="1"/>
  <c r="H20" i="70" l="1"/>
  <c r="H21" i="70" l="1"/>
  <c r="H22" i="70" l="1"/>
  <c r="H23" i="70" l="1"/>
  <c r="G25" i="66"/>
  <c r="L15" i="66"/>
  <c r="H24" i="70" l="1"/>
  <c r="H25" i="70" l="1"/>
  <c r="H26" i="70" l="1"/>
  <c r="H27" i="70" l="1"/>
  <c r="H28" i="70" l="1"/>
  <c r="H29" i="70" l="1"/>
  <c r="H30" i="70" l="1"/>
  <c r="H31" i="70" l="1"/>
  <c r="H32" i="70" l="1"/>
  <c r="F35" i="72" l="1"/>
  <c r="F36" i="72"/>
  <c r="E35" i="72" l="1"/>
  <c r="H19" i="66" l="1"/>
  <c r="E13" i="72" s="1"/>
  <c r="H20" i="66" l="1"/>
  <c r="H21" i="66" l="1"/>
  <c r="H22" i="66" l="1"/>
  <c r="E14" i="72" s="1"/>
  <c r="I19" i="66"/>
  <c r="I23" i="66" s="1"/>
  <c r="L16" i="66"/>
  <c r="G24" i="66" s="1"/>
  <c r="H27" i="66" l="1"/>
  <c r="M46" i="66" s="1"/>
  <c r="F13" i="72"/>
  <c r="I24" i="66"/>
  <c r="M31" i="66" l="1"/>
  <c r="Q46" i="66" s="1"/>
  <c r="P46" i="66"/>
  <c r="E15" i="72"/>
  <c r="I25" i="66"/>
  <c r="I28" i="72" l="1"/>
  <c r="I35" i="72"/>
  <c r="D35" i="72"/>
  <c r="G40" i="66" l="1"/>
  <c r="D21" i="72" s="1"/>
  <c r="D28" i="72"/>
  <c r="E28" i="72"/>
  <c r="G41" i="66" l="1"/>
  <c r="D22" i="72" s="1"/>
  <c r="D29" i="72"/>
  <c r="G26" i="66"/>
  <c r="I26" i="66" s="1"/>
  <c r="F14" i="72" s="1"/>
  <c r="I27" i="66" l="1"/>
  <c r="M32" i="66" l="1"/>
  <c r="Q47" i="66" s="1"/>
  <c r="F15" i="72"/>
  <c r="M47" i="66"/>
  <c r="P47" i="66" s="1"/>
  <c r="I29" i="72" l="1"/>
  <c r="H49" i="66"/>
  <c r="E40" i="72" s="1"/>
  <c r="I36" i="72"/>
  <c r="F49" i="66"/>
  <c r="F50" i="66" l="1"/>
  <c r="E38" i="72"/>
  <c r="E39" i="72" s="1"/>
  <c r="E29" i="72"/>
  <c r="D36" i="72"/>
</calcChain>
</file>

<file path=xl/comments1.xml><?xml version="1.0" encoding="utf-8"?>
<comments xmlns="http://schemas.openxmlformats.org/spreadsheetml/2006/main">
  <authors>
    <author>Michel Brissette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Transfer Size T80:</t>
        </r>
        <r>
          <rPr>
            <sz val="9"/>
            <color indexed="81"/>
            <rFont val="Tahoma"/>
            <family val="2"/>
          </rPr>
          <t xml:space="preserve">
The T80 value is usually 1/3 of the smallest aperture if T80 is unkown.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Pebble Crusher Factor:</t>
        </r>
        <r>
          <rPr>
            <sz val="9"/>
            <color indexed="81"/>
            <rFont val="Tahoma"/>
            <family val="2"/>
          </rPr>
          <t xml:space="preserve">
This is suggested value but can be changed as required.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Reduction Factor:</t>
        </r>
        <r>
          <rPr>
            <sz val="9"/>
            <color indexed="81"/>
            <rFont val="Tahoma"/>
            <family val="2"/>
          </rPr>
          <t xml:space="preserve">
Energy reduction is less with softer ores and higher with harder ores.
Limit set to 30% for SAG Hardness &gt; 20 kWh/t</t>
        </r>
      </text>
    </comment>
  </commentList>
</comments>
</file>

<file path=xl/sharedStrings.xml><?xml version="1.0" encoding="utf-8"?>
<sst xmlns="http://schemas.openxmlformats.org/spreadsheetml/2006/main" count="262" uniqueCount="190">
  <si>
    <t>HP</t>
  </si>
  <si>
    <t>kW</t>
  </si>
  <si>
    <t>SG</t>
  </si>
  <si>
    <t>kWh/t</t>
  </si>
  <si>
    <t>%</t>
  </si>
  <si>
    <t>Remarks</t>
  </si>
  <si>
    <t>Factor</t>
  </si>
  <si>
    <t>Total</t>
  </si>
  <si>
    <t>(%)</t>
  </si>
  <si>
    <t>Crit Spd.</t>
  </si>
  <si>
    <t>Ratio</t>
  </si>
  <si>
    <t>SG Steel</t>
  </si>
  <si>
    <t>SG Water</t>
  </si>
  <si>
    <t>Allowance</t>
  </si>
  <si>
    <t>Aspect</t>
  </si>
  <si>
    <t>Max</t>
  </si>
  <si>
    <t>Motor Drive</t>
  </si>
  <si>
    <t>Relative Charge</t>
  </si>
  <si>
    <t>Operating</t>
  </si>
  <si>
    <t>Adjusted 5 % for every 25.4 mm (1") at 152.4</t>
  </si>
  <si>
    <t>Ball Mill</t>
  </si>
  <si>
    <t xml:space="preserve">   Product Size, P80, microns</t>
  </si>
  <si>
    <t xml:space="preserve">   Feed Size, F80, mm</t>
  </si>
  <si>
    <t xml:space="preserve">   Transfer Size, T80, microns</t>
  </si>
  <si>
    <t>Ore SG</t>
  </si>
  <si>
    <t xml:space="preserve">   Ball Mill Grindability, kWh/ton</t>
  </si>
  <si>
    <t>Average</t>
  </si>
  <si>
    <t>No</t>
  </si>
  <si>
    <t>ENERGY REQUIREMENTS CALCULATION:</t>
  </si>
  <si>
    <t xml:space="preserve">   Pebble Crusher, Y/N</t>
  </si>
  <si>
    <t>From SAGDesign testwork results.</t>
  </si>
  <si>
    <t>Notes</t>
  </si>
  <si>
    <t xml:space="preserve">   Ball Mill Reduction Ratio, RR</t>
  </si>
  <si>
    <t>Inefficiency for coarser feed to ball mill</t>
  </si>
  <si>
    <t>Inefficiency for finer final product size</t>
  </si>
  <si>
    <t>Efficiency for BM diameter other than 8 ft</t>
  </si>
  <si>
    <t xml:space="preserve">   MILL PINION ENERGY, kWh/ton</t>
  </si>
  <si>
    <t>Grate</t>
  </si>
  <si>
    <t>Overflow</t>
  </si>
  <si>
    <t>Speed</t>
  </si>
  <si>
    <t>Transmission</t>
  </si>
  <si>
    <t>%Loss</t>
  </si>
  <si>
    <t>Wound Motor</t>
  </si>
  <si>
    <t>Synchronous Motor</t>
  </si>
  <si>
    <t>Wrap-around Motor</t>
  </si>
  <si>
    <t>Gear Box</t>
  </si>
  <si>
    <t>Clutch</t>
  </si>
  <si>
    <t>Gear Box &amp; Clutch</t>
  </si>
  <si>
    <t>Gearless</t>
  </si>
  <si>
    <t xml:space="preserve">   Ball Mill Motor Type</t>
  </si>
  <si>
    <t>Motor Type</t>
  </si>
  <si>
    <t xml:space="preserve">   BM Specific Energy, kWh/ton</t>
  </si>
  <si>
    <t>Mill Motor Type Selection</t>
  </si>
  <si>
    <t>Code</t>
  </si>
  <si>
    <t>Eff. Loss</t>
  </si>
  <si>
    <t>A</t>
  </si>
  <si>
    <t>B</t>
  </si>
  <si>
    <t>C</t>
  </si>
  <si>
    <t>SG Ore</t>
  </si>
  <si>
    <t>Dia. (ft)</t>
  </si>
  <si>
    <t>EGL (ft)</t>
  </si>
  <si>
    <t>Nordberg Factor</t>
  </si>
  <si>
    <t>Raw</t>
  </si>
  <si>
    <t xml:space="preserve">   Optimum BM Feed Size Fo, microns</t>
  </si>
  <si>
    <t>Installed Power / Mill</t>
  </si>
  <si>
    <t>Dia (ft)</t>
  </si>
  <si>
    <t xml:space="preserve">   Ball Mill</t>
  </si>
  <si>
    <t>SAGDesign™ Methodology</t>
  </si>
  <si>
    <t>Operating Conditions</t>
  </si>
  <si>
    <t>In-Circuit Pebble Crusher</t>
  </si>
  <si>
    <t>Steel Load, %Vol</t>
  </si>
  <si>
    <t>Qty</t>
  </si>
  <si>
    <t>Size</t>
  </si>
  <si>
    <t>Mill Pinion Energy, kWh/t</t>
  </si>
  <si>
    <t>Energy Requirement</t>
  </si>
  <si>
    <t>Specific Energy, kWh/t</t>
  </si>
  <si>
    <t>Adjustment, kWh/t</t>
  </si>
  <si>
    <t>Number</t>
  </si>
  <si>
    <t>Fixed</t>
  </si>
  <si>
    <t>Variable</t>
  </si>
  <si>
    <t>Wound Motor (Ru)</t>
  </si>
  <si>
    <t>Wound Rotor (Ru)</t>
  </si>
  <si>
    <t>Dry</t>
  </si>
  <si>
    <t>Discharge</t>
  </si>
  <si>
    <t>Value</t>
  </si>
  <si>
    <t>Nordberg Factors</t>
  </si>
  <si>
    <t>C Factor : Mill Speed</t>
  </si>
  <si>
    <t>B Factor : Ball Mill Load</t>
  </si>
  <si>
    <t>Steel Load</t>
  </si>
  <si>
    <t>Wet</t>
  </si>
  <si>
    <t>Coarse fraction, %Vol</t>
  </si>
  <si>
    <t>Fines fraction, %Vol</t>
  </si>
  <si>
    <t>Total Load, %Vol</t>
  </si>
  <si>
    <t>%Vol</t>
  </si>
  <si>
    <t>B Value</t>
  </si>
  <si>
    <t xml:space="preserve">   AG/SAG Grindability, kWh/ton</t>
  </si>
  <si>
    <t>B Factor : AG-SAG Mill Load</t>
  </si>
  <si>
    <t>Laboratory</t>
  </si>
  <si>
    <t>D</t>
  </si>
  <si>
    <t>E</t>
  </si>
  <si>
    <t>F</t>
  </si>
  <si>
    <t>G</t>
  </si>
  <si>
    <t>H</t>
  </si>
  <si>
    <t>Rel. St. Dev.</t>
  </si>
  <si>
    <t>Min. R.E. (%)</t>
  </si>
  <si>
    <t>Max. R.E.(%)</t>
  </si>
  <si>
    <t>WSDT</t>
  </si>
  <si>
    <t>Sd-BWI</t>
  </si>
  <si>
    <t>Project</t>
  </si>
  <si>
    <t>Test ID</t>
  </si>
  <si>
    <t>Repeat</t>
  </si>
  <si>
    <t>RE</t>
  </si>
  <si>
    <t>S3</t>
  </si>
  <si>
    <t>R1</t>
  </si>
  <si>
    <t>S5</t>
  </si>
  <si>
    <t>R2</t>
  </si>
  <si>
    <t>R3</t>
  </si>
  <si>
    <t>R4</t>
  </si>
  <si>
    <t>S46</t>
  </si>
  <si>
    <t>R5</t>
  </si>
  <si>
    <t>S50</t>
  </si>
  <si>
    <t>R6</t>
  </si>
  <si>
    <t>S58</t>
  </si>
  <si>
    <t>R7</t>
  </si>
  <si>
    <t>R8</t>
  </si>
  <si>
    <t>S69</t>
  </si>
  <si>
    <t>R9</t>
  </si>
  <si>
    <t>R10</t>
  </si>
  <si>
    <t>R11</t>
  </si>
  <si>
    <t>R12</t>
  </si>
  <si>
    <t>Min. R.E.</t>
  </si>
  <si>
    <t>Max. R.E.</t>
  </si>
  <si>
    <t>Table 1: SAGDesign™ Test Reproducibility</t>
  </si>
  <si>
    <t>Table 2: SAGDesign™ Test Repeatability</t>
  </si>
  <si>
    <t>Figure 1 : SAGDesign Teswork Results versus Plant and Pilot Benchmark</t>
  </si>
  <si>
    <t>ORE GRINDABILITY PROPERTIES:</t>
  </si>
  <si>
    <t>PARTICLE SIZE :</t>
  </si>
  <si>
    <t>Installed Power</t>
  </si>
  <si>
    <t>Dimension</t>
  </si>
  <si>
    <t>Type</t>
  </si>
  <si>
    <t>MOTOR DESCRIPTION :</t>
  </si>
  <si>
    <t>%Critical</t>
  </si>
  <si>
    <t>Load</t>
  </si>
  <si>
    <t>%Total</t>
  </si>
  <si>
    <t>%Steel</t>
  </si>
  <si>
    <t>rpm</t>
  </si>
  <si>
    <t>of Mill(s)</t>
  </si>
  <si>
    <t xml:space="preserve">   Ore Grindability, kWh/ton</t>
  </si>
  <si>
    <t>MILL SPECIFICATIONS :</t>
  </si>
  <si>
    <t>OPERATING CONDITIONS :</t>
  </si>
  <si>
    <t>AG-SAG- Ball Mill Grinding Circuit Throughput Forecasting</t>
  </si>
  <si>
    <t>Ins. Liner</t>
  </si>
  <si>
    <t>Power Draw</t>
  </si>
  <si>
    <t xml:space="preserve">   Ore SG</t>
  </si>
  <si>
    <t>Throughput</t>
  </si>
  <si>
    <t>ton/hr</t>
  </si>
  <si>
    <t>ton/day</t>
  </si>
  <si>
    <t>Capacity</t>
  </si>
  <si>
    <t>Installed</t>
  </si>
  <si>
    <t>Conditions</t>
  </si>
  <si>
    <t>MILL POWER DRAW AND THROUGHPUT CAPACITY :</t>
  </si>
  <si>
    <t>Circuit ton/hr</t>
  </si>
  <si>
    <t>Ore Hardness</t>
  </si>
  <si>
    <t>Grinding Task Specification</t>
  </si>
  <si>
    <t>SAG and Ball's Grinding Circuit Throughput Forecasting</t>
  </si>
  <si>
    <t>Mill Specification</t>
  </si>
  <si>
    <t>Grinding Task</t>
  </si>
  <si>
    <t>Mill Speed</t>
  </si>
  <si>
    <t>Charge</t>
  </si>
  <si>
    <t>GRINDING CIRCUIT CAPACITY :</t>
  </si>
  <si>
    <t>Mill Throughput Capacity</t>
  </si>
  <si>
    <t>Grinding Circuit Capacity :</t>
  </si>
  <si>
    <t>Assumed from Bailey et al, 2009</t>
  </si>
  <si>
    <t>SAGDesign Mill Throughput Calculation</t>
  </si>
  <si>
    <r>
      <t>Using S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-BWI when T80 ≠ 1,700 µm.</t>
    </r>
  </si>
  <si>
    <r>
      <t>Using S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-BWI from T80 to P80</t>
    </r>
  </si>
  <si>
    <r>
      <t xml:space="preserve">   BM Coarse Feed Correction Factor (EF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</si>
  <si>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 xml:space="preserve">   BM Fineness Correction Factor (EF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)</t>
    </r>
  </si>
  <si>
    <r>
      <t xml:space="preserve">   BM Diameter Correction Factor (EF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</si>
  <si>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r>
      <t>About the SAGDesign</t>
    </r>
    <r>
      <rPr>
        <b/>
        <i/>
        <sz val="10"/>
        <color indexed="18"/>
        <rFont val="Calibri"/>
        <family val="2"/>
        <scheme val="minor"/>
      </rPr>
      <t>_Mill Sizing</t>
    </r>
    <r>
      <rPr>
        <i/>
        <sz val="10"/>
        <color indexed="18"/>
        <rFont val="Calibri"/>
        <family val="2"/>
        <scheme val="minor"/>
      </rPr>
      <t xml:space="preserve"> Spreadsheet ...</t>
    </r>
  </si>
  <si>
    <r>
      <t>W</t>
    </r>
    <r>
      <rPr>
        <b/>
        <vertAlign val="subscript"/>
        <sz val="10"/>
        <color theme="1"/>
        <rFont val="Calibri"/>
        <family val="2"/>
        <scheme val="minor"/>
      </rPr>
      <t>SDT</t>
    </r>
  </si>
  <si>
    <r>
      <t>Feed Size, F</t>
    </r>
    <r>
      <rPr>
        <vertAlign val="subscript"/>
        <sz val="10"/>
        <rFont val="Calibri"/>
        <family val="2"/>
        <scheme val="minor"/>
      </rPr>
      <t>80</t>
    </r>
    <r>
      <rPr>
        <sz val="10"/>
        <rFont val="Calibri"/>
        <family val="2"/>
        <scheme val="minor"/>
      </rPr>
      <t>, mm</t>
    </r>
  </si>
  <si>
    <r>
      <t>Transfer Size, T</t>
    </r>
    <r>
      <rPr>
        <vertAlign val="subscript"/>
        <sz val="10"/>
        <rFont val="Calibri"/>
        <family val="2"/>
        <scheme val="minor"/>
      </rPr>
      <t>80</t>
    </r>
    <r>
      <rPr>
        <sz val="10"/>
        <rFont val="Calibri"/>
        <family val="2"/>
        <scheme val="minor"/>
      </rPr>
      <t>, microns</t>
    </r>
  </si>
  <si>
    <r>
      <t>W</t>
    </r>
    <r>
      <rPr>
        <vertAlign val="subscript"/>
        <sz val="10"/>
        <rFont val="Calibri"/>
        <family val="2"/>
        <scheme val="minor"/>
      </rPr>
      <t>SDT</t>
    </r>
    <r>
      <rPr>
        <sz val="10"/>
        <rFont val="Calibri"/>
        <family val="2"/>
        <scheme val="minor"/>
      </rPr>
      <t>, kWh/t</t>
    </r>
  </si>
  <si>
    <r>
      <t>Product Size, P</t>
    </r>
    <r>
      <rPr>
        <vertAlign val="subscript"/>
        <sz val="10"/>
        <rFont val="Calibri"/>
        <family val="2"/>
        <scheme val="minor"/>
      </rPr>
      <t>80</t>
    </r>
    <r>
      <rPr>
        <sz val="10"/>
        <rFont val="Calibri"/>
        <family val="2"/>
        <scheme val="minor"/>
      </rPr>
      <t>, microns</t>
    </r>
  </si>
  <si>
    <r>
      <t>S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-BWI, kWh/t</t>
    </r>
  </si>
  <si>
    <t>Y</t>
  </si>
  <si>
    <t>Base Case example: 34' x 13.3' SAG Mill and 22' x 36.2' ball mill, with pebble crusher, under regular</t>
  </si>
  <si>
    <t>operating conditions.</t>
  </si>
  <si>
    <r>
      <t>Between -10% and -30% based on W</t>
    </r>
    <r>
      <rPr>
        <vertAlign val="subscript"/>
        <sz val="10"/>
        <rFont val="Calibri"/>
        <family val="2"/>
        <scheme val="minor"/>
      </rPr>
      <t>SDT.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</si>
</sst>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000"/>
    <numFmt numFmtId="167" formatCode="#,##0.0_);\(#,##0.0\)"/>
    <numFmt numFmtId="168" formatCode="_(&quot;R$ &quot;* #,##0.00_);_(&quot;R$ &quot;* \(#,##0.00\);_(&quot;R$ &quot;* &quot;-&quot;??_);_(@_)"/>
    <numFmt numFmtId="169" formatCode="_-[$€-2]\ * #,##0.00_-;\-[$€-2]\ * #,##0.00_-;_-[$€-2]\ * &quot;-&quot;??_-"/>
    <numFmt numFmtId="170" formatCode="0\ \ "/>
    <numFmt numFmtId="171" formatCode="#,##0\ \ "/>
    <numFmt numFmtId="172" formatCode="0.00\ \ "/>
    <numFmt numFmtId="173" formatCode="0.000\ \ "/>
    <numFmt numFmtId="174" formatCode="0.0\ \ "/>
    <numFmt numFmtId="175" formatCode="#,##0.0\ \ "/>
    <numFmt numFmtId="176" formatCode="0.0%\ \ "/>
    <numFmt numFmtId="177" formatCode="0.00\ "/>
    <numFmt numFmtId="178" formatCode="@\ \ "/>
    <numFmt numFmtId="179" formatCode="0.0000\ \ "/>
    <numFmt numFmtId="180" formatCode="0.000000"/>
    <numFmt numFmtId="181" formatCode="#,##0.0"/>
    <numFmt numFmtId="182" formatCode="0\ "/>
    <numFmt numFmtId="183" formatCode="0.0\ "/>
    <numFmt numFmtId="184" formatCode="0.0000\ "/>
    <numFmt numFmtId="185" formatCode="#,##0\ "/>
    <numFmt numFmtId="186" formatCode="0.0%"/>
    <numFmt numFmtId="187" formatCode="#,##0.0\ 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2"/>
      <color indexed="18"/>
      <name val="Calibri"/>
      <family val="2"/>
      <scheme val="minor"/>
    </font>
    <font>
      <i/>
      <sz val="8"/>
      <color indexed="1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indexed="18"/>
      <name val="Calibri"/>
      <family val="2"/>
      <scheme val="minor"/>
    </font>
    <font>
      <b/>
      <i/>
      <sz val="10"/>
      <color indexed="1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</borders>
  <cellStyleXfs count="830">
    <xf numFmtId="0" fontId="0" fillId="0" borderId="0"/>
    <xf numFmtId="0" fontId="4" fillId="0" borderId="0">
      <alignment vertical="top"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67" fontId="6" fillId="0" borderId="1" applyNumberFormat="0" applyFill="0" applyBorder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168" fontId="2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8">
    <xf numFmtId="0" fontId="0" fillId="0" borderId="0" xfId="0"/>
    <xf numFmtId="0" fontId="25" fillId="0" borderId="0" xfId="0" applyFont="1" applyProtection="1">
      <protection locked="0"/>
    </xf>
    <xf numFmtId="0" fontId="25" fillId="0" borderId="0" xfId="0" applyFont="1"/>
    <xf numFmtId="0" fontId="25" fillId="28" borderId="0" xfId="0" applyFont="1" applyFill="1" applyBorder="1" applyProtection="1"/>
    <xf numFmtId="0" fontId="30" fillId="28" borderId="0" xfId="0" applyFont="1" applyFill="1" applyBorder="1" applyProtection="1"/>
    <xf numFmtId="9" fontId="25" fillId="0" borderId="0" xfId="792" applyFont="1"/>
    <xf numFmtId="0" fontId="25" fillId="25" borderId="16" xfId="0" applyFont="1" applyFill="1" applyBorder="1" applyProtection="1">
      <protection locked="0"/>
    </xf>
    <xf numFmtId="0" fontId="25" fillId="25" borderId="11" xfId="0" applyFont="1" applyFill="1" applyBorder="1" applyProtection="1">
      <protection locked="0"/>
    </xf>
    <xf numFmtId="0" fontId="25" fillId="25" borderId="17" xfId="0" applyFont="1" applyFill="1" applyBorder="1" applyProtection="1">
      <protection locked="0"/>
    </xf>
    <xf numFmtId="16" fontId="25" fillId="0" borderId="0" xfId="0" applyNumberFormat="1" applyFont="1"/>
    <xf numFmtId="174" fontId="25" fillId="25" borderId="15" xfId="0" applyNumberFormat="1" applyFont="1" applyFill="1" applyBorder="1" applyProtection="1">
      <protection locked="0"/>
    </xf>
    <xf numFmtId="172" fontId="25" fillId="0" borderId="15" xfId="0" applyNumberFormat="1" applyFont="1" applyFill="1" applyBorder="1" applyProtection="1"/>
    <xf numFmtId="175" fontId="25" fillId="25" borderId="15" xfId="0" applyNumberFormat="1" applyFont="1" applyFill="1" applyBorder="1" applyProtection="1">
      <protection locked="0"/>
    </xf>
    <xf numFmtId="178" fontId="25" fillId="25" borderId="15" xfId="0" applyNumberFormat="1" applyFont="1" applyFill="1" applyBorder="1" applyAlignment="1" applyProtection="1">
      <alignment horizontal="right"/>
      <protection locked="0"/>
    </xf>
    <xf numFmtId="174" fontId="25" fillId="26" borderId="15" xfId="0" applyNumberFormat="1" applyFont="1" applyFill="1" applyBorder="1" applyProtection="1"/>
    <xf numFmtId="171" fontId="25" fillId="26" borderId="15" xfId="0" applyNumberFormat="1" applyFont="1" applyFill="1" applyBorder="1" applyProtection="1"/>
    <xf numFmtId="0" fontId="30" fillId="28" borderId="27" xfId="0" applyFont="1" applyFill="1" applyBorder="1" applyAlignment="1" applyProtection="1">
      <alignment horizontal="center"/>
    </xf>
    <xf numFmtId="0" fontId="30" fillId="28" borderId="29" xfId="0" applyFont="1" applyFill="1" applyBorder="1" applyAlignment="1" applyProtection="1">
      <alignment horizontal="center"/>
    </xf>
    <xf numFmtId="0" fontId="30" fillId="28" borderId="31" xfId="0" applyFont="1" applyFill="1" applyBorder="1" applyAlignment="1" applyProtection="1">
      <alignment horizontal="center"/>
    </xf>
    <xf numFmtId="0" fontId="30" fillId="28" borderId="32" xfId="0" applyFont="1" applyFill="1" applyBorder="1" applyProtection="1"/>
    <xf numFmtId="0" fontId="25" fillId="28" borderId="31" xfId="0" applyFont="1" applyFill="1" applyBorder="1" applyProtection="1"/>
    <xf numFmtId="0" fontId="25" fillId="28" borderId="28" xfId="0" applyFont="1" applyFill="1" applyBorder="1" applyProtection="1"/>
    <xf numFmtId="0" fontId="25" fillId="28" borderId="21" xfId="0" applyFont="1" applyFill="1" applyBorder="1" applyProtection="1"/>
    <xf numFmtId="172" fontId="25" fillId="26" borderId="15" xfId="0" applyNumberFormat="1" applyFont="1" applyFill="1" applyBorder="1" applyProtection="1"/>
    <xf numFmtId="176" fontId="25" fillId="26" borderId="23" xfId="792" applyNumberFormat="1" applyFont="1" applyFill="1" applyBorder="1" applyProtection="1"/>
    <xf numFmtId="170" fontId="25" fillId="28" borderId="15" xfId="0" applyNumberFormat="1" applyFont="1" applyFill="1" applyBorder="1" applyProtection="1"/>
    <xf numFmtId="176" fontId="25" fillId="24" borderId="23" xfId="792" applyNumberFormat="1" applyFont="1" applyFill="1" applyBorder="1" applyProtection="1"/>
    <xf numFmtId="170" fontId="25" fillId="28" borderId="12" xfId="0" applyNumberFormat="1" applyFont="1" applyFill="1" applyBorder="1" applyProtection="1"/>
    <xf numFmtId="172" fontId="25" fillId="26" borderId="34" xfId="0" applyNumberFormat="1" applyFont="1" applyFill="1" applyBorder="1" applyProtection="1"/>
    <xf numFmtId="172" fontId="25" fillId="0" borderId="0" xfId="0" applyNumberFormat="1" applyFont="1"/>
    <xf numFmtId="173" fontId="25" fillId="26" borderId="23" xfId="0" applyNumberFormat="1" applyFont="1" applyFill="1" applyBorder="1" applyProtection="1"/>
    <xf numFmtId="0" fontId="25" fillId="28" borderId="22" xfId="0" applyFont="1" applyFill="1" applyBorder="1" applyProtection="1"/>
    <xf numFmtId="2" fontId="25" fillId="0" borderId="0" xfId="0" applyNumberFormat="1" applyFont="1"/>
    <xf numFmtId="173" fontId="25" fillId="26" borderId="24" xfId="0" applyNumberFormat="1" applyFont="1" applyFill="1" applyBorder="1" applyProtection="1"/>
    <xf numFmtId="0" fontId="25" fillId="28" borderId="33" xfId="0" applyFont="1" applyFill="1" applyBorder="1" applyProtection="1"/>
    <xf numFmtId="172" fontId="30" fillId="27" borderId="35" xfId="0" applyNumberFormat="1" applyFont="1" applyFill="1" applyBorder="1" applyProtection="1"/>
    <xf numFmtId="172" fontId="30" fillId="27" borderId="30" xfId="0" applyNumberFormat="1" applyFont="1" applyFill="1" applyBorder="1" applyProtection="1"/>
    <xf numFmtId="0" fontId="30" fillId="28" borderId="33" xfId="0" applyFont="1" applyFill="1" applyBorder="1" applyProtection="1"/>
    <xf numFmtId="0" fontId="30" fillId="28" borderId="31" xfId="0" applyFont="1" applyFill="1" applyBorder="1" applyProtection="1"/>
    <xf numFmtId="0" fontId="30" fillId="28" borderId="28" xfId="0" applyFont="1" applyFill="1" applyBorder="1" applyProtection="1"/>
    <xf numFmtId="0" fontId="30" fillId="28" borderId="64" xfId="0" applyFont="1" applyFill="1" applyBorder="1" applyAlignment="1" applyProtection="1">
      <alignment horizontal="center"/>
    </xf>
    <xf numFmtId="0" fontId="30" fillId="28" borderId="36" xfId="0" applyFont="1" applyFill="1" applyBorder="1" applyAlignment="1" applyProtection="1">
      <alignment horizontal="center"/>
    </xf>
    <xf numFmtId="0" fontId="30" fillId="28" borderId="63" xfId="0" applyFont="1" applyFill="1" applyBorder="1" applyAlignment="1" applyProtection="1">
      <alignment horizontal="center"/>
    </xf>
    <xf numFmtId="0" fontId="30" fillId="28" borderId="20" xfId="0" applyFont="1" applyFill="1" applyBorder="1" applyAlignment="1" applyProtection="1">
      <alignment horizontal="center"/>
    </xf>
    <xf numFmtId="0" fontId="25" fillId="28" borderId="38" xfId="0" applyFont="1" applyFill="1" applyBorder="1" applyProtection="1"/>
    <xf numFmtId="0" fontId="25" fillId="28" borderId="37" xfId="0" applyFont="1" applyFill="1" applyBorder="1" applyProtection="1"/>
    <xf numFmtId="0" fontId="25" fillId="28" borderId="39" xfId="0" applyFont="1" applyFill="1" applyBorder="1" applyProtection="1"/>
    <xf numFmtId="170" fontId="25" fillId="24" borderId="42" xfId="0" applyNumberFormat="1" applyFont="1" applyFill="1" applyBorder="1" applyAlignment="1" applyProtection="1"/>
    <xf numFmtId="170" fontId="25" fillId="24" borderId="17" xfId="0" applyNumberFormat="1" applyFont="1" applyFill="1" applyBorder="1" applyProtection="1"/>
    <xf numFmtId="174" fontId="25" fillId="24" borderId="16" xfId="0" applyNumberFormat="1" applyFont="1" applyFill="1" applyBorder="1" applyProtection="1"/>
    <xf numFmtId="172" fontId="25" fillId="26" borderId="34" xfId="0" applyNumberFormat="1" applyFont="1" applyFill="1" applyBorder="1" applyAlignment="1" applyProtection="1"/>
    <xf numFmtId="171" fontId="25" fillId="0" borderId="34" xfId="0" applyNumberFormat="1" applyFont="1" applyFill="1" applyBorder="1" applyAlignment="1" applyProtection="1"/>
    <xf numFmtId="178" fontId="25" fillId="24" borderId="63" xfId="0" applyNumberFormat="1" applyFont="1" applyFill="1" applyBorder="1" applyAlignment="1" applyProtection="1">
      <alignment horizontal="right"/>
    </xf>
    <xf numFmtId="175" fontId="30" fillId="27" borderId="68" xfId="0" applyNumberFormat="1" applyFont="1" applyFill="1" applyBorder="1" applyProtection="1"/>
    <xf numFmtId="0" fontId="25" fillId="28" borderId="70" xfId="0" applyFont="1" applyFill="1" applyBorder="1" applyProtection="1"/>
    <xf numFmtId="0" fontId="25" fillId="28" borderId="71" xfId="0" applyFont="1" applyFill="1" applyBorder="1" applyProtection="1"/>
    <xf numFmtId="0" fontId="25" fillId="28" borderId="69" xfId="0" applyFont="1" applyFill="1" applyBorder="1" applyProtection="1"/>
    <xf numFmtId="170" fontId="25" fillId="24" borderId="40" xfId="0" applyNumberFormat="1" applyFont="1" applyFill="1" applyBorder="1" applyProtection="1"/>
    <xf numFmtId="175" fontId="30" fillId="27" borderId="69" xfId="0" applyNumberFormat="1" applyFont="1" applyFill="1" applyBorder="1" applyProtection="1"/>
    <xf numFmtId="0" fontId="30" fillId="28" borderId="33" xfId="0" applyFont="1" applyFill="1" applyBorder="1" applyAlignment="1" applyProtection="1">
      <alignment horizontal="center"/>
    </xf>
    <xf numFmtId="0" fontId="30" fillId="28" borderId="35" xfId="0" applyFont="1" applyFill="1" applyBorder="1" applyAlignment="1" applyProtection="1"/>
    <xf numFmtId="0" fontId="30" fillId="28" borderId="30" xfId="0" applyFont="1" applyFill="1" applyBorder="1" applyAlignment="1" applyProtection="1">
      <alignment horizontal="center"/>
    </xf>
    <xf numFmtId="0" fontId="25" fillId="24" borderId="21" xfId="0" applyFont="1" applyFill="1" applyBorder="1" applyAlignment="1" applyProtection="1">
      <alignment horizontal="left"/>
    </xf>
    <xf numFmtId="172" fontId="25" fillId="26" borderId="25" xfId="0" applyNumberFormat="1" applyFont="1" applyFill="1" applyBorder="1" applyProtection="1"/>
    <xf numFmtId="0" fontId="32" fillId="0" borderId="0" xfId="0" applyFont="1"/>
    <xf numFmtId="0" fontId="30" fillId="28" borderId="18" xfId="0" applyFont="1" applyFill="1" applyBorder="1" applyAlignment="1" applyProtection="1">
      <alignment horizontal="center"/>
    </xf>
    <xf numFmtId="0" fontId="30" fillId="28" borderId="19" xfId="0" applyFont="1" applyFill="1" applyBorder="1" applyAlignment="1" applyProtection="1">
      <alignment horizontal="center"/>
    </xf>
    <xf numFmtId="0" fontId="30" fillId="28" borderId="63" xfId="0" applyFont="1" applyFill="1" applyBorder="1" applyProtection="1"/>
    <xf numFmtId="174" fontId="25" fillId="24" borderId="42" xfId="0" applyNumberFormat="1" applyFont="1" applyFill="1" applyBorder="1" applyProtection="1"/>
    <xf numFmtId="174" fontId="25" fillId="24" borderId="34" xfId="0" applyNumberFormat="1" applyFont="1" applyFill="1" applyBorder="1" applyProtection="1"/>
    <xf numFmtId="174" fontId="25" fillId="24" borderId="44" xfId="0" applyNumberFormat="1" applyFont="1" applyFill="1" applyBorder="1" applyProtection="1"/>
    <xf numFmtId="170" fontId="25" fillId="24" borderId="43" xfId="0" applyNumberFormat="1" applyFont="1" applyFill="1" applyBorder="1" applyProtection="1"/>
    <xf numFmtId="174" fontId="25" fillId="24" borderId="24" xfId="0" applyNumberFormat="1" applyFont="1" applyFill="1" applyBorder="1" applyProtection="1"/>
    <xf numFmtId="172" fontId="25" fillId="26" borderId="41" xfId="0" applyNumberFormat="1" applyFont="1" applyFill="1" applyBorder="1" applyProtection="1"/>
    <xf numFmtId="170" fontId="25" fillId="28" borderId="41" xfId="0" applyNumberFormat="1" applyFont="1" applyFill="1" applyBorder="1" applyProtection="1"/>
    <xf numFmtId="174" fontId="25" fillId="24" borderId="66" xfId="0" applyNumberFormat="1" applyFont="1" applyFill="1" applyBorder="1" applyProtection="1"/>
    <xf numFmtId="170" fontId="25" fillId="24" borderId="67" xfId="0" applyNumberFormat="1" applyFont="1" applyFill="1" applyBorder="1" applyProtection="1"/>
    <xf numFmtId="0" fontId="30" fillId="28" borderId="72" xfId="0" applyFont="1" applyFill="1" applyBorder="1" applyAlignment="1" applyProtection="1">
      <alignment horizontal="center"/>
    </xf>
    <xf numFmtId="0" fontId="33" fillId="0" borderId="0" xfId="0" applyFont="1" applyAlignment="1">
      <alignment horizontal="center"/>
    </xf>
    <xf numFmtId="0" fontId="30" fillId="28" borderId="73" xfId="0" applyFont="1" applyFill="1" applyBorder="1" applyAlignment="1" applyProtection="1">
      <alignment horizontal="center"/>
    </xf>
    <xf numFmtId="174" fontId="34" fillId="27" borderId="42" xfId="0" applyNumberFormat="1" applyFont="1" applyFill="1" applyBorder="1" applyAlignment="1" applyProtection="1"/>
    <xf numFmtId="174" fontId="34" fillId="27" borderId="34" xfId="0" applyNumberFormat="1" applyFont="1" applyFill="1" applyBorder="1" applyAlignment="1" applyProtection="1"/>
    <xf numFmtId="174" fontId="25" fillId="26" borderId="34" xfId="0" applyNumberFormat="1" applyFont="1" applyFill="1" applyBorder="1" applyAlignment="1" applyProtection="1"/>
    <xf numFmtId="179" fontId="25" fillId="26" borderId="34" xfId="0" applyNumberFormat="1" applyFont="1" applyFill="1" applyBorder="1" applyAlignment="1" applyProtection="1"/>
    <xf numFmtId="171" fontId="25" fillId="27" borderId="34" xfId="0" applyNumberFormat="1" applyFont="1" applyFill="1" applyBorder="1" applyAlignment="1" applyProtection="1"/>
    <xf numFmtId="171" fontId="25" fillId="27" borderId="43" xfId="0" applyNumberFormat="1" applyFont="1" applyFill="1" applyBorder="1" applyAlignment="1" applyProtection="1"/>
    <xf numFmtId="175" fontId="30" fillId="27" borderId="65" xfId="0" applyNumberFormat="1" applyFont="1" applyFill="1" applyBorder="1" applyProtection="1"/>
    <xf numFmtId="181" fontId="32" fillId="0" borderId="0" xfId="0" applyNumberFormat="1" applyFont="1"/>
    <xf numFmtId="175" fontId="30" fillId="27" borderId="74" xfId="0" applyNumberFormat="1" applyFont="1" applyFill="1" applyBorder="1" applyProtection="1"/>
    <xf numFmtId="175" fontId="35" fillId="27" borderId="65" xfId="0" applyNumberFormat="1" applyFont="1" applyFill="1" applyBorder="1" applyProtection="1"/>
    <xf numFmtId="0" fontId="35" fillId="28" borderId="0" xfId="0" applyFont="1" applyFill="1" applyBorder="1" applyProtection="1"/>
    <xf numFmtId="0" fontId="36" fillId="0" borderId="0" xfId="0" applyFont="1"/>
    <xf numFmtId="0" fontId="25" fillId="24" borderId="0" xfId="0" applyFont="1" applyFill="1"/>
    <xf numFmtId="0" fontId="30" fillId="24" borderId="0" xfId="0" applyFont="1" applyFill="1"/>
    <xf numFmtId="0" fontId="38" fillId="24" borderId="60" xfId="0" applyFont="1" applyFill="1" applyBorder="1"/>
    <xf numFmtId="0" fontId="38" fillId="24" borderId="60" xfId="0" applyFont="1" applyFill="1" applyBorder="1" applyAlignment="1">
      <alignment horizontal="center"/>
    </xf>
    <xf numFmtId="0" fontId="38" fillId="24" borderId="60" xfId="0" applyFont="1" applyFill="1" applyBorder="1" applyAlignment="1">
      <alignment horizontal="left"/>
    </xf>
    <xf numFmtId="0" fontId="25" fillId="24" borderId="11" xfId="0" applyFont="1" applyFill="1" applyBorder="1"/>
    <xf numFmtId="0" fontId="25" fillId="24" borderId="11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2" fontId="25" fillId="24" borderId="0" xfId="0" applyNumberFormat="1" applyFont="1" applyFill="1" applyBorder="1"/>
    <xf numFmtId="0" fontId="25" fillId="24" borderId="62" xfId="0" applyFont="1" applyFill="1" applyBorder="1"/>
    <xf numFmtId="2" fontId="25" fillId="24" borderId="62" xfId="0" applyNumberFormat="1" applyFont="1" applyFill="1" applyBorder="1"/>
    <xf numFmtId="186" fontId="25" fillId="24" borderId="62" xfId="792" applyNumberFormat="1" applyFont="1" applyFill="1" applyBorder="1"/>
    <xf numFmtId="0" fontId="25" fillId="24" borderId="0" xfId="0" applyFont="1" applyFill="1" applyBorder="1"/>
    <xf numFmtId="186" fontId="25" fillId="24" borderId="0" xfId="792" applyNumberFormat="1" applyFont="1" applyFill="1" applyBorder="1"/>
    <xf numFmtId="2" fontId="25" fillId="24" borderId="11" xfId="0" applyNumberFormat="1" applyFont="1" applyFill="1" applyBorder="1"/>
    <xf numFmtId="0" fontId="38" fillId="24" borderId="0" xfId="0" applyFont="1" applyFill="1" applyBorder="1"/>
    <xf numFmtId="2" fontId="38" fillId="24" borderId="0" xfId="0" applyNumberFormat="1" applyFont="1" applyFill="1" applyBorder="1"/>
    <xf numFmtId="186" fontId="38" fillId="24" borderId="0" xfId="0" applyNumberFormat="1" applyFont="1" applyFill="1" applyBorder="1"/>
    <xf numFmtId="186" fontId="25" fillId="24" borderId="0" xfId="0" applyNumberFormat="1" applyFont="1" applyFill="1" applyBorder="1"/>
    <xf numFmtId="0" fontId="25" fillId="24" borderId="61" xfId="0" applyFont="1" applyFill="1" applyBorder="1"/>
    <xf numFmtId="186" fontId="25" fillId="24" borderId="61" xfId="0" applyNumberFormat="1" applyFont="1" applyFill="1" applyBorder="1"/>
    <xf numFmtId="0" fontId="40" fillId="24" borderId="0" xfId="0" applyFont="1" applyFill="1" applyBorder="1"/>
    <xf numFmtId="0" fontId="38" fillId="24" borderId="62" xfId="0" applyFont="1" applyFill="1" applyBorder="1"/>
    <xf numFmtId="186" fontId="38" fillId="24" borderId="62" xfId="0" applyNumberFormat="1" applyFont="1" applyFill="1" applyBorder="1"/>
    <xf numFmtId="0" fontId="25" fillId="0" borderId="0" xfId="0" applyFont="1" applyFill="1" applyBorder="1"/>
    <xf numFmtId="0" fontId="30" fillId="0" borderId="11" xfId="0" applyFont="1" applyBorder="1" applyAlignment="1"/>
    <xf numFmtId="0" fontId="30" fillId="0" borderId="0" xfId="0" applyFont="1"/>
    <xf numFmtId="0" fontId="30" fillId="0" borderId="0" xfId="0" applyFont="1" applyBorder="1" applyAlignment="1">
      <alignment horizontal="right"/>
    </xf>
    <xf numFmtId="181" fontId="25" fillId="0" borderId="0" xfId="0" applyNumberFormat="1" applyFont="1"/>
    <xf numFmtId="0" fontId="25" fillId="0" borderId="14" xfId="0" applyFont="1" applyBorder="1"/>
    <xf numFmtId="172" fontId="25" fillId="0" borderId="14" xfId="0" applyNumberFormat="1" applyFont="1" applyBorder="1"/>
    <xf numFmtId="3" fontId="25" fillId="0" borderId="0" xfId="0" applyNumberFormat="1" applyFont="1"/>
    <xf numFmtId="0" fontId="25" fillId="0" borderId="0" xfId="0" applyFont="1" applyBorder="1"/>
    <xf numFmtId="172" fontId="25" fillId="0" borderId="0" xfId="0" applyNumberFormat="1" applyFont="1" applyBorder="1"/>
    <xf numFmtId="0" fontId="25" fillId="0" borderId="11" xfId="0" applyFont="1" applyBorder="1"/>
    <xf numFmtId="172" fontId="25" fillId="0" borderId="11" xfId="0" applyNumberFormat="1" applyFont="1" applyBorder="1"/>
    <xf numFmtId="0" fontId="25" fillId="0" borderId="11" xfId="0" applyFont="1" applyBorder="1" applyAlignment="1">
      <alignment horizontal="right"/>
    </xf>
    <xf numFmtId="0" fontId="25" fillId="0" borderId="75" xfId="0" applyFont="1" applyBorder="1"/>
    <xf numFmtId="0" fontId="30" fillId="0" borderId="0" xfId="0" applyFont="1" applyAlignment="1">
      <alignment horizontal="center"/>
    </xf>
    <xf numFmtId="2" fontId="25" fillId="0" borderId="14" xfId="0" applyNumberFormat="1" applyFont="1" applyBorder="1"/>
    <xf numFmtId="2" fontId="25" fillId="0" borderId="0" xfId="0" applyNumberFormat="1" applyFont="1" applyBorder="1"/>
    <xf numFmtId="0" fontId="30" fillId="0" borderId="11" xfId="0" applyFont="1" applyBorder="1"/>
    <xf numFmtId="2" fontId="30" fillId="0" borderId="11" xfId="0" applyNumberFormat="1" applyFont="1" applyBorder="1"/>
    <xf numFmtId="0" fontId="25" fillId="0" borderId="76" xfId="0" applyFont="1" applyBorder="1"/>
    <xf numFmtId="2" fontId="25" fillId="0" borderId="77" xfId="0" applyNumberFormat="1" applyFont="1" applyBorder="1"/>
    <xf numFmtId="0" fontId="25" fillId="0" borderId="16" xfId="0" applyFont="1" applyBorder="1"/>
    <xf numFmtId="2" fontId="25" fillId="0" borderId="17" xfId="0" applyNumberFormat="1" applyFont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0" fontId="30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182" fontId="25" fillId="0" borderId="13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 horizontal="right"/>
    </xf>
    <xf numFmtId="183" fontId="25" fillId="0" borderId="0" xfId="0" applyNumberFormat="1" applyFont="1" applyBorder="1" applyAlignment="1">
      <alignment horizontal="right"/>
    </xf>
    <xf numFmtId="185" fontId="25" fillId="0" borderId="13" xfId="0" applyNumberFormat="1" applyFont="1" applyBorder="1" applyAlignment="1">
      <alignment horizontal="right"/>
    </xf>
    <xf numFmtId="185" fontId="25" fillId="0" borderId="0" xfId="0" applyNumberFormat="1" applyFont="1" applyBorder="1" applyAlignment="1">
      <alignment horizontal="right"/>
    </xf>
    <xf numFmtId="182" fontId="25" fillId="0" borderId="13" xfId="0" applyNumberFormat="1" applyFont="1" applyBorder="1"/>
    <xf numFmtId="187" fontId="30" fillId="0" borderId="76" xfId="0" applyNumberFormat="1" applyFont="1" applyBorder="1"/>
    <xf numFmtId="182" fontId="25" fillId="0" borderId="16" xfId="0" applyNumberFormat="1" applyFont="1" applyBorder="1" applyAlignment="1">
      <alignment horizontal="right"/>
    </xf>
    <xf numFmtId="182" fontId="25" fillId="0" borderId="11" xfId="0" applyNumberFormat="1" applyFont="1" applyBorder="1" applyAlignment="1">
      <alignment horizontal="right"/>
    </xf>
    <xf numFmtId="183" fontId="25" fillId="0" borderId="11" xfId="0" applyNumberFormat="1" applyFont="1" applyBorder="1" applyAlignment="1">
      <alignment horizontal="right"/>
    </xf>
    <xf numFmtId="185" fontId="25" fillId="0" borderId="16" xfId="0" applyNumberFormat="1" applyFont="1" applyBorder="1" applyAlignment="1">
      <alignment horizontal="right"/>
    </xf>
    <xf numFmtId="185" fontId="25" fillId="0" borderId="11" xfId="0" applyNumberFormat="1" applyFont="1" applyBorder="1" applyAlignment="1">
      <alignment horizontal="right"/>
    </xf>
    <xf numFmtId="182" fontId="25" fillId="0" borderId="16" xfId="0" applyNumberFormat="1" applyFont="1" applyBorder="1"/>
    <xf numFmtId="187" fontId="30" fillId="0" borderId="16" xfId="0" applyNumberFormat="1" applyFont="1" applyBorder="1"/>
    <xf numFmtId="183" fontId="25" fillId="0" borderId="76" xfId="0" applyNumberFormat="1" applyFont="1" applyBorder="1"/>
    <xf numFmtId="183" fontId="25" fillId="0" borderId="75" xfId="0" applyNumberFormat="1" applyFont="1" applyBorder="1" applyAlignment="1">
      <alignment horizontal="right"/>
    </xf>
    <xf numFmtId="177" fontId="25" fillId="0" borderId="75" xfId="0" applyNumberFormat="1" applyFont="1" applyBorder="1" applyAlignment="1">
      <alignment horizontal="right"/>
    </xf>
    <xf numFmtId="184" fontId="25" fillId="0" borderId="75" xfId="0" applyNumberFormat="1" applyFont="1" applyBorder="1" applyAlignment="1">
      <alignment horizontal="right"/>
    </xf>
    <xf numFmtId="185" fontId="25" fillId="0" borderId="75" xfId="0" applyNumberFormat="1" applyFont="1" applyBorder="1"/>
    <xf numFmtId="185" fontId="25" fillId="0" borderId="77" xfId="0" applyNumberFormat="1" applyFont="1" applyBorder="1"/>
    <xf numFmtId="181" fontId="30" fillId="0" borderId="75" xfId="0" applyNumberFormat="1" applyFont="1" applyBorder="1"/>
    <xf numFmtId="183" fontId="25" fillId="0" borderId="16" xfId="0" applyNumberFormat="1" applyFont="1" applyBorder="1"/>
    <xf numFmtId="177" fontId="25" fillId="0" borderId="11" xfId="0" applyNumberFormat="1" applyFont="1" applyBorder="1" applyAlignment="1">
      <alignment horizontal="right"/>
    </xf>
    <xf numFmtId="184" fontId="25" fillId="0" borderId="11" xfId="0" applyNumberFormat="1" applyFont="1" applyBorder="1" applyAlignment="1">
      <alignment horizontal="right"/>
    </xf>
    <xf numFmtId="185" fontId="25" fillId="0" borderId="11" xfId="0" applyNumberFormat="1" applyFont="1" applyBorder="1"/>
    <xf numFmtId="185" fontId="25" fillId="0" borderId="17" xfId="0" applyNumberFormat="1" applyFont="1" applyBorder="1"/>
    <xf numFmtId="181" fontId="30" fillId="0" borderId="11" xfId="0" applyNumberFormat="1" applyFont="1" applyBorder="1"/>
    <xf numFmtId="187" fontId="30" fillId="0" borderId="0" xfId="0" applyNumberFormat="1" applyFont="1"/>
    <xf numFmtId="3" fontId="30" fillId="0" borderId="0" xfId="0" applyNumberFormat="1" applyFont="1"/>
    <xf numFmtId="0" fontId="33" fillId="24" borderId="0" xfId="0" applyFont="1" applyFill="1"/>
    <xf numFmtId="0" fontId="32" fillId="24" borderId="0" xfId="0" applyFont="1" applyFill="1"/>
    <xf numFmtId="0" fontId="44" fillId="24" borderId="0" xfId="0" applyFont="1" applyFill="1"/>
    <xf numFmtId="0" fontId="45" fillId="24" borderId="0" xfId="0" applyFont="1" applyFill="1"/>
    <xf numFmtId="0" fontId="44" fillId="0" borderId="0" xfId="0" applyFont="1"/>
    <xf numFmtId="0" fontId="33" fillId="24" borderId="51" xfId="0" applyFont="1" applyFill="1" applyBorder="1"/>
    <xf numFmtId="0" fontId="33" fillId="24" borderId="52" xfId="0" applyFont="1" applyFill="1" applyBorder="1"/>
    <xf numFmtId="0" fontId="33" fillId="24" borderId="53" xfId="0" applyFont="1" applyFill="1" applyBorder="1"/>
    <xf numFmtId="0" fontId="33" fillId="24" borderId="45" xfId="0" applyFont="1" applyFill="1" applyBorder="1"/>
    <xf numFmtId="0" fontId="32" fillId="24" borderId="46" xfId="0" applyFont="1" applyFill="1" applyBorder="1"/>
    <xf numFmtId="0" fontId="32" fillId="24" borderId="0" xfId="0" applyFont="1" applyFill="1" applyBorder="1"/>
    <xf numFmtId="0" fontId="32" fillId="24" borderId="47" xfId="0" applyFont="1" applyFill="1" applyBorder="1"/>
    <xf numFmtId="0" fontId="32" fillId="24" borderId="55" xfId="0" applyFont="1" applyFill="1" applyBorder="1"/>
    <xf numFmtId="1" fontId="33" fillId="24" borderId="54" xfId="0" applyNumberFormat="1" applyFont="1" applyFill="1" applyBorder="1" applyAlignment="1">
      <alignment horizontal="center" vertical="top"/>
    </xf>
    <xf numFmtId="0" fontId="33" fillId="24" borderId="58" xfId="0" applyFont="1" applyFill="1" applyBorder="1" applyAlignment="1">
      <alignment horizontal="center" vertical="top"/>
    </xf>
    <xf numFmtId="0" fontId="33" fillId="24" borderId="54" xfId="0" applyFont="1" applyFill="1" applyBorder="1" applyAlignment="1">
      <alignment horizontal="center" vertical="top" wrapText="1"/>
    </xf>
    <xf numFmtId="0" fontId="33" fillId="24" borderId="59" xfId="0" applyFont="1" applyFill="1" applyBorder="1" applyAlignment="1">
      <alignment horizontal="center" vertical="top"/>
    </xf>
    <xf numFmtId="1" fontId="33" fillId="24" borderId="56" xfId="0" applyNumberFormat="1" applyFont="1" applyFill="1" applyBorder="1" applyAlignment="1">
      <alignment horizontal="center" vertical="top"/>
    </xf>
    <xf numFmtId="0" fontId="33" fillId="24" borderId="50" xfId="0" applyFont="1" applyFill="1" applyBorder="1" applyAlignment="1">
      <alignment horizontal="center" vertical="top"/>
    </xf>
    <xf numFmtId="0" fontId="33" fillId="24" borderId="56" xfId="0" applyFont="1" applyFill="1" applyBorder="1" applyAlignment="1">
      <alignment horizontal="center" vertical="top" wrapText="1"/>
    </xf>
    <xf numFmtId="0" fontId="33" fillId="24" borderId="49" xfId="0" applyFont="1" applyFill="1" applyBorder="1" applyAlignment="1">
      <alignment horizontal="center" vertical="top"/>
    </xf>
    <xf numFmtId="1" fontId="32" fillId="24" borderId="55" xfId="0" applyNumberFormat="1" applyFont="1" applyFill="1" applyBorder="1" applyAlignment="1">
      <alignment horizontal="right" vertical="top"/>
    </xf>
    <xf numFmtId="166" fontId="32" fillId="24" borderId="47" xfId="0" applyNumberFormat="1" applyFont="1" applyFill="1" applyBorder="1" applyAlignment="1">
      <alignment horizontal="right" vertical="top"/>
    </xf>
    <xf numFmtId="0" fontId="32" fillId="24" borderId="55" xfId="0" applyFont="1" applyFill="1" applyBorder="1" applyAlignment="1">
      <alignment vertical="top"/>
    </xf>
    <xf numFmtId="2" fontId="32" fillId="24" borderId="0" xfId="0" applyNumberFormat="1" applyFont="1" applyFill="1" applyBorder="1" applyAlignment="1">
      <alignment vertical="top"/>
    </xf>
    <xf numFmtId="2" fontId="32" fillId="24" borderId="47" xfId="0" applyNumberFormat="1" applyFont="1" applyFill="1" applyBorder="1" applyAlignment="1">
      <alignment vertical="top"/>
    </xf>
    <xf numFmtId="0" fontId="32" fillId="24" borderId="48" xfId="0" applyFont="1" applyFill="1" applyBorder="1"/>
    <xf numFmtId="0" fontId="32" fillId="24" borderId="49" xfId="0" applyFont="1" applyFill="1" applyBorder="1"/>
    <xf numFmtId="0" fontId="32" fillId="24" borderId="50" xfId="0" applyFont="1" applyFill="1" applyBorder="1"/>
    <xf numFmtId="0" fontId="32" fillId="24" borderId="56" xfId="0" applyFont="1" applyFill="1" applyBorder="1"/>
    <xf numFmtId="2" fontId="32" fillId="24" borderId="0" xfId="0" applyNumberFormat="1" applyFont="1" applyFill="1" applyBorder="1"/>
    <xf numFmtId="2" fontId="32" fillId="24" borderId="49" xfId="0" applyNumberFormat="1" applyFont="1" applyFill="1" applyBorder="1"/>
    <xf numFmtId="0" fontId="32" fillId="24" borderId="56" xfId="0" applyFont="1" applyFill="1" applyBorder="1" applyAlignment="1">
      <alignment vertical="top"/>
    </xf>
    <xf numFmtId="2" fontId="32" fillId="24" borderId="49" xfId="0" applyNumberFormat="1" applyFont="1" applyFill="1" applyBorder="1" applyAlignment="1">
      <alignment vertical="top"/>
    </xf>
    <xf numFmtId="2" fontId="32" fillId="24" borderId="50" xfId="0" applyNumberFormat="1" applyFont="1" applyFill="1" applyBorder="1" applyAlignment="1">
      <alignment vertical="top"/>
    </xf>
    <xf numFmtId="0" fontId="32" fillId="24" borderId="57" xfId="827" applyFont="1" applyFill="1" applyBorder="1" applyAlignment="1">
      <alignment horizontal="left"/>
    </xf>
    <xf numFmtId="0" fontId="32" fillId="24" borderId="59" xfId="827" applyFont="1" applyFill="1" applyBorder="1"/>
    <xf numFmtId="9" fontId="32" fillId="24" borderId="58" xfId="792" applyFont="1" applyFill="1" applyBorder="1" applyAlignment="1"/>
    <xf numFmtId="180" fontId="25" fillId="24" borderId="0" xfId="0" applyNumberFormat="1" applyFont="1" applyFill="1" applyBorder="1" applyAlignment="1">
      <alignment vertical="top"/>
    </xf>
    <xf numFmtId="0" fontId="32" fillId="24" borderId="46" xfId="827" applyFont="1" applyFill="1" applyBorder="1" applyAlignment="1">
      <alignment horizontal="left"/>
    </xf>
    <xf numFmtId="9" fontId="32" fillId="24" borderId="47" xfId="792" applyFont="1" applyFill="1" applyBorder="1" applyAlignment="1"/>
    <xf numFmtId="2" fontId="32" fillId="24" borderId="47" xfId="827" applyNumberFormat="1" applyFont="1" applyFill="1" applyBorder="1" applyAlignment="1"/>
    <xf numFmtId="180" fontId="25" fillId="24" borderId="0" xfId="0" applyNumberFormat="1" applyFont="1" applyFill="1"/>
    <xf numFmtId="1" fontId="32" fillId="24" borderId="47" xfId="827" applyNumberFormat="1" applyFont="1" applyFill="1" applyBorder="1" applyAlignment="1"/>
    <xf numFmtId="0" fontId="32" fillId="24" borderId="48" xfId="827" applyFont="1" applyFill="1" applyBorder="1" applyAlignment="1">
      <alignment horizontal="left"/>
    </xf>
    <xf numFmtId="1" fontId="32" fillId="24" borderId="50" xfId="827" applyNumberFormat="1" applyFont="1" applyFill="1" applyBorder="1" applyAlignment="1"/>
    <xf numFmtId="0" fontId="33" fillId="24" borderId="57" xfId="827" applyFont="1" applyFill="1" applyBorder="1" applyAlignment="1">
      <alignment horizontal="center"/>
    </xf>
    <xf numFmtId="0" fontId="33" fillId="24" borderId="48" xfId="827" applyFont="1" applyFill="1" applyBorder="1" applyAlignment="1">
      <alignment horizontal="center"/>
    </xf>
    <xf numFmtId="1" fontId="32" fillId="24" borderId="56" xfId="0" applyNumberFormat="1" applyFont="1" applyFill="1" applyBorder="1" applyAlignment="1">
      <alignment horizontal="right" vertical="top"/>
    </xf>
    <xf numFmtId="166" fontId="32" fillId="24" borderId="50" xfId="0" applyNumberFormat="1" applyFont="1" applyFill="1" applyBorder="1" applyAlignment="1">
      <alignment horizontal="right" vertical="top"/>
    </xf>
    <xf numFmtId="2" fontId="32" fillId="24" borderId="48" xfId="0" applyNumberFormat="1" applyFont="1" applyFill="1" applyBorder="1" applyAlignment="1"/>
    <xf numFmtId="165" fontId="32" fillId="24" borderId="49" xfId="0" applyNumberFormat="1" applyFont="1" applyFill="1" applyBorder="1" applyAlignment="1">
      <alignment vertical="top"/>
    </xf>
    <xf numFmtId="165" fontId="32" fillId="24" borderId="50" xfId="0" applyNumberFormat="1" applyFont="1" applyFill="1" applyBorder="1" applyAlignment="1">
      <alignment vertical="top"/>
    </xf>
    <xf numFmtId="0" fontId="25" fillId="28" borderId="78" xfId="0" applyFont="1" applyFill="1" applyBorder="1" applyProtection="1"/>
    <xf numFmtId="0" fontId="26" fillId="28" borderId="79" xfId="0" applyFont="1" applyFill="1" applyBorder="1" applyAlignment="1">
      <alignment vertical="center"/>
    </xf>
    <xf numFmtId="0" fontId="25" fillId="28" borderId="79" xfId="0" applyFont="1" applyFill="1" applyBorder="1" applyProtection="1"/>
    <xf numFmtId="0" fontId="27" fillId="28" borderId="79" xfId="0" applyFont="1" applyFill="1" applyBorder="1" applyAlignment="1" applyProtection="1">
      <alignment horizontal="right" vertical="center"/>
    </xf>
    <xf numFmtId="0" fontId="25" fillId="28" borderId="80" xfId="0" applyFont="1" applyFill="1" applyBorder="1" applyProtection="1"/>
    <xf numFmtId="0" fontId="25" fillId="28" borderId="81" xfId="0" applyFont="1" applyFill="1" applyBorder="1" applyProtection="1"/>
    <xf numFmtId="0" fontId="25" fillId="28" borderId="82" xfId="0" applyFont="1" applyFill="1" applyBorder="1" applyProtection="1"/>
    <xf numFmtId="0" fontId="25" fillId="25" borderId="76" xfId="0" applyFont="1" applyFill="1" applyBorder="1" applyProtection="1">
      <protection locked="0"/>
    </xf>
    <xf numFmtId="0" fontId="25" fillId="25" borderId="75" xfId="0" applyFont="1" applyFill="1" applyBorder="1" applyProtection="1">
      <protection locked="0"/>
    </xf>
    <xf numFmtId="0" fontId="25" fillId="25" borderId="77" xfId="0" applyFont="1" applyFill="1" applyBorder="1" applyProtection="1">
      <protection locked="0"/>
    </xf>
    <xf numFmtId="0" fontId="25" fillId="28" borderId="83" xfId="0" applyFont="1" applyFill="1" applyBorder="1" applyProtection="1"/>
    <xf numFmtId="0" fontId="30" fillId="28" borderId="88" xfId="0" applyFont="1" applyFill="1" applyBorder="1" applyAlignment="1" applyProtection="1">
      <alignment horizontal="center"/>
    </xf>
    <xf numFmtId="0" fontId="30" fillId="28" borderId="89" xfId="0" applyFont="1" applyFill="1" applyBorder="1" applyAlignment="1" applyProtection="1">
      <alignment horizontal="center"/>
    </xf>
    <xf numFmtId="0" fontId="30" fillId="28" borderId="90" xfId="0" applyFont="1" applyFill="1" applyBorder="1" applyAlignment="1" applyProtection="1">
      <alignment horizontal="center"/>
    </xf>
    <xf numFmtId="0" fontId="30" fillId="28" borderId="91" xfId="0" applyFont="1" applyFill="1" applyBorder="1" applyAlignment="1" applyProtection="1">
      <alignment horizontal="center"/>
    </xf>
    <xf numFmtId="0" fontId="30" fillId="28" borderId="92" xfId="0" applyFont="1" applyFill="1" applyBorder="1" applyAlignment="1" applyProtection="1">
      <alignment horizontal="center"/>
    </xf>
    <xf numFmtId="0" fontId="30" fillId="28" borderId="93" xfId="0" applyFont="1" applyFill="1" applyBorder="1" applyAlignment="1" applyProtection="1">
      <alignment horizontal="center"/>
    </xf>
    <xf numFmtId="0" fontId="30" fillId="28" borderId="94" xfId="0" applyFont="1" applyFill="1" applyBorder="1" applyAlignment="1" applyProtection="1">
      <alignment horizontal="center"/>
    </xf>
    <xf numFmtId="170" fontId="25" fillId="24" borderId="88" xfId="0" applyNumberFormat="1" applyFont="1" applyFill="1" applyBorder="1" applyAlignment="1" applyProtection="1"/>
    <xf numFmtId="172" fontId="25" fillId="26" borderId="90" xfId="0" applyNumberFormat="1" applyFont="1" applyFill="1" applyBorder="1" applyAlignment="1" applyProtection="1"/>
    <xf numFmtId="171" fontId="25" fillId="0" borderId="90" xfId="0" applyNumberFormat="1" applyFont="1" applyFill="1" applyBorder="1" applyAlignment="1" applyProtection="1"/>
    <xf numFmtId="178" fontId="25" fillId="24" borderId="67" xfId="0" applyNumberFormat="1" applyFont="1" applyFill="1" applyBorder="1" applyAlignment="1" applyProtection="1">
      <alignment horizontal="right"/>
    </xf>
    <xf numFmtId="0" fontId="30" fillId="28" borderId="87" xfId="0" applyFont="1" applyFill="1" applyBorder="1" applyAlignment="1" applyProtection="1"/>
    <xf numFmtId="0" fontId="25" fillId="24" borderId="88" xfId="0" applyFont="1" applyFill="1" applyBorder="1" applyAlignment="1" applyProtection="1">
      <alignment horizontal="left"/>
    </xf>
    <xf numFmtId="172" fontId="25" fillId="26" borderId="93" xfId="0" applyNumberFormat="1" applyFont="1" applyFill="1" applyBorder="1" applyProtection="1"/>
    <xf numFmtId="0" fontId="30" fillId="28" borderId="26" xfId="0" applyFont="1" applyFill="1" applyBorder="1" applyAlignment="1" applyProtection="1">
      <alignment horizontal="center"/>
    </xf>
    <xf numFmtId="0" fontId="30" fillId="28" borderId="95" xfId="0" applyFont="1" applyFill="1" applyBorder="1" applyAlignment="1" applyProtection="1">
      <alignment horizontal="center"/>
    </xf>
    <xf numFmtId="0" fontId="25" fillId="28" borderId="89" xfId="0" applyFont="1" applyFill="1" applyBorder="1" applyProtection="1"/>
    <xf numFmtId="174" fontId="34" fillId="27" borderId="88" xfId="0" applyNumberFormat="1" applyFont="1" applyFill="1" applyBorder="1" applyAlignment="1" applyProtection="1"/>
    <xf numFmtId="174" fontId="34" fillId="27" borderId="90" xfId="0" applyNumberFormat="1" applyFont="1" applyFill="1" applyBorder="1" applyAlignment="1" applyProtection="1"/>
    <xf numFmtId="174" fontId="25" fillId="26" borderId="90" xfId="0" applyNumberFormat="1" applyFont="1" applyFill="1" applyBorder="1" applyAlignment="1" applyProtection="1"/>
    <xf numFmtId="179" fontId="25" fillId="26" borderId="90" xfId="0" applyNumberFormat="1" applyFont="1" applyFill="1" applyBorder="1" applyAlignment="1" applyProtection="1"/>
    <xf numFmtId="171" fontId="25" fillId="27" borderId="90" xfId="0" applyNumberFormat="1" applyFont="1" applyFill="1" applyBorder="1" applyAlignment="1" applyProtection="1"/>
    <xf numFmtId="171" fontId="25" fillId="27" borderId="93" xfId="0" applyNumberFormat="1" applyFont="1" applyFill="1" applyBorder="1" applyAlignment="1" applyProtection="1"/>
    <xf numFmtId="171" fontId="35" fillId="27" borderId="74" xfId="0" applyNumberFormat="1" applyFont="1" applyFill="1" applyBorder="1" applyProtection="1"/>
    <xf numFmtId="0" fontId="25" fillId="28" borderId="96" xfId="0" applyFont="1" applyFill="1" applyBorder="1" applyProtection="1"/>
    <xf numFmtId="0" fontId="25" fillId="28" borderId="97" xfId="0" applyFont="1" applyFill="1" applyBorder="1" applyProtection="1"/>
    <xf numFmtId="0" fontId="25" fillId="28" borderId="98" xfId="0" applyFont="1" applyFill="1" applyBorder="1" applyProtection="1"/>
    <xf numFmtId="0" fontId="30" fillId="28" borderId="26" xfId="0" applyFont="1" applyFill="1" applyBorder="1" applyAlignment="1" applyProtection="1">
      <alignment horizontal="center"/>
    </xf>
    <xf numFmtId="0" fontId="30" fillId="28" borderId="19" xfId="0" applyFont="1" applyFill="1" applyBorder="1" applyAlignment="1" applyProtection="1">
      <alignment horizontal="center"/>
    </xf>
    <xf numFmtId="0" fontId="30" fillId="28" borderId="87" xfId="0" applyFont="1" applyFill="1" applyBorder="1" applyAlignment="1" applyProtection="1">
      <alignment horizontal="center"/>
    </xf>
    <xf numFmtId="0" fontId="30" fillId="28" borderId="36" xfId="0" applyFont="1" applyFill="1" applyBorder="1" applyAlignment="1" applyProtection="1">
      <alignment horizontal="center"/>
    </xf>
    <xf numFmtId="0" fontId="30" fillId="28" borderId="63" xfId="0" applyFont="1" applyFill="1" applyBorder="1" applyAlignment="1" applyProtection="1">
      <alignment horizontal="center"/>
    </xf>
    <xf numFmtId="0" fontId="25" fillId="28" borderId="84" xfId="0" applyFont="1" applyFill="1" applyBorder="1" applyAlignment="1" applyProtection="1">
      <alignment horizontal="left"/>
    </xf>
    <xf numFmtId="0" fontId="25" fillId="28" borderId="85" xfId="0" applyFont="1" applyFill="1" applyBorder="1" applyAlignment="1" applyProtection="1">
      <alignment horizontal="left"/>
    </xf>
    <xf numFmtId="0" fontId="25" fillId="28" borderId="86" xfId="0" applyFont="1" applyFill="1" applyBorder="1" applyAlignment="1" applyProtection="1">
      <alignment horizontal="left"/>
    </xf>
    <xf numFmtId="0" fontId="25" fillId="28" borderId="26" xfId="0" applyFont="1" applyFill="1" applyBorder="1" applyAlignment="1" applyProtection="1">
      <alignment horizontal="left"/>
    </xf>
    <xf numFmtId="0" fontId="25" fillId="28" borderId="19" xfId="0" applyFont="1" applyFill="1" applyBorder="1" applyAlignment="1" applyProtection="1">
      <alignment horizontal="left"/>
    </xf>
    <xf numFmtId="0" fontId="25" fillId="28" borderId="20" xfId="0" applyFont="1" applyFill="1" applyBorder="1" applyAlignment="1" applyProtection="1">
      <alignment horizontal="left"/>
    </xf>
    <xf numFmtId="0" fontId="25" fillId="28" borderId="13" xfId="0" applyFont="1" applyFill="1" applyBorder="1" applyAlignment="1" applyProtection="1">
      <alignment horizontal="left"/>
    </xf>
    <xf numFmtId="0" fontId="25" fillId="28" borderId="0" xfId="0" applyFont="1" applyFill="1" applyBorder="1" applyAlignment="1" applyProtection="1">
      <alignment horizontal="left"/>
    </xf>
    <xf numFmtId="0" fontId="25" fillId="28" borderId="22" xfId="0" applyFont="1" applyFill="1" applyBorder="1" applyAlignment="1" applyProtection="1">
      <alignment horizontal="left"/>
    </xf>
    <xf numFmtId="0" fontId="33" fillId="0" borderId="0" xfId="0" applyFont="1" applyAlignment="1">
      <alignment horizontal="center"/>
    </xf>
    <xf numFmtId="0" fontId="25" fillId="24" borderId="91" xfId="0" applyFont="1" applyFill="1" applyBorder="1" applyAlignment="1" applyProtection="1">
      <alignment horizontal="left"/>
    </xf>
    <xf numFmtId="0" fontId="25" fillId="24" borderId="92" xfId="0" applyFont="1" applyFill="1" applyBorder="1" applyAlignment="1" applyProtection="1">
      <alignment horizontal="left"/>
    </xf>
    <xf numFmtId="0" fontId="28" fillId="28" borderId="0" xfId="0" applyFont="1" applyFill="1" applyBorder="1" applyAlignment="1" applyProtection="1">
      <alignment horizontal="center"/>
    </xf>
    <xf numFmtId="0" fontId="29" fillId="28" borderId="0" xfId="0" applyFont="1" applyFill="1" applyBorder="1" applyAlignment="1" applyProtection="1">
      <alignment horizontal="center"/>
    </xf>
    <xf numFmtId="0" fontId="25" fillId="24" borderId="26" xfId="0" applyFont="1" applyFill="1" applyBorder="1" applyAlignment="1" applyProtection="1">
      <alignment horizontal="left"/>
    </xf>
    <xf numFmtId="0" fontId="25" fillId="24" borderId="87" xfId="0" applyFont="1" applyFill="1" applyBorder="1" applyAlignment="1" applyProtection="1">
      <alignment horizontal="left"/>
    </xf>
    <xf numFmtId="0" fontId="30" fillId="28" borderId="36" xfId="0" applyFont="1" applyFill="1" applyBorder="1" applyAlignment="1" applyProtection="1">
      <alignment horizontal="left"/>
    </xf>
    <xf numFmtId="0" fontId="30" fillId="28" borderId="26" xfId="0" applyFont="1" applyFill="1" applyBorder="1" applyAlignment="1" applyProtection="1">
      <alignment horizontal="left"/>
    </xf>
    <xf numFmtId="0" fontId="25" fillId="24" borderId="19" xfId="0" applyFont="1" applyFill="1" applyBorder="1" applyAlignment="1" applyProtection="1">
      <alignment horizontal="left"/>
    </xf>
    <xf numFmtId="0" fontId="25" fillId="24" borderId="89" xfId="0" applyFont="1" applyFill="1" applyBorder="1" applyAlignment="1" applyProtection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3" fillId="24" borderId="59" xfId="0" applyFont="1" applyFill="1" applyBorder="1" applyAlignment="1">
      <alignment horizontal="center" vertical="top"/>
    </xf>
    <xf numFmtId="0" fontId="33" fillId="24" borderId="58" xfId="0" applyFont="1" applyFill="1" applyBorder="1" applyAlignment="1">
      <alignment horizontal="center" vertical="top"/>
    </xf>
  </cellXfs>
  <cellStyles count="830">
    <cellStyle name="_PLANILLA DE COSTOS-EL MORRO-AGO_07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2 6" xfId="7"/>
    <cellStyle name="20% - Accent2 2" xfId="8"/>
    <cellStyle name="20% - Accent2 2 2" xfId="9"/>
    <cellStyle name="20% - Accent2 2 3" xfId="10"/>
    <cellStyle name="20% - Accent2 2 4" xfId="11"/>
    <cellStyle name="20% - Accent2 2 5" xfId="12"/>
    <cellStyle name="20% - Accent2 2 6" xfId="13"/>
    <cellStyle name="20% - Accent3 2" xfId="14"/>
    <cellStyle name="20% - Accent3 2 2" xfId="15"/>
    <cellStyle name="20% - Accent3 2 3" xfId="16"/>
    <cellStyle name="20% - Accent3 2 4" xfId="17"/>
    <cellStyle name="20% - Accent3 2 5" xfId="18"/>
    <cellStyle name="20% - Accent3 2 6" xfId="19"/>
    <cellStyle name="20% - Accent4 2" xfId="20"/>
    <cellStyle name="20% - Accent4 2 2" xfId="21"/>
    <cellStyle name="20% - Accent4 2 3" xfId="22"/>
    <cellStyle name="20% - Accent4 2 4" xfId="23"/>
    <cellStyle name="20% - Accent4 2 5" xfId="24"/>
    <cellStyle name="20% - Accent4 2 6" xfId="25"/>
    <cellStyle name="20% - Accent5 2" xfId="26"/>
    <cellStyle name="20% - Accent5 2 2" xfId="27"/>
    <cellStyle name="20% - Accent5 2 3" xfId="28"/>
    <cellStyle name="20% - Accent5 2 4" xfId="29"/>
    <cellStyle name="20% - Accent5 2 5" xfId="30"/>
    <cellStyle name="20% - Accent5 2 6" xfId="31"/>
    <cellStyle name="20% - Accent6 2" xfId="32"/>
    <cellStyle name="20% - Accent6 2 2" xfId="33"/>
    <cellStyle name="20% - Accent6 2 3" xfId="34"/>
    <cellStyle name="20% - Accent6 2 4" xfId="35"/>
    <cellStyle name="20% - Accent6 2 5" xfId="36"/>
    <cellStyle name="20% - Accent6 2 6" xfId="37"/>
    <cellStyle name="40% - Accent1 2" xfId="38"/>
    <cellStyle name="40% - Accent1 2 2" xfId="39"/>
    <cellStyle name="40% - Accent1 2 3" xfId="40"/>
    <cellStyle name="40% - Accent1 2 4" xfId="41"/>
    <cellStyle name="40% - Accent1 2 5" xfId="42"/>
    <cellStyle name="40% - Accent1 2 6" xfId="43"/>
    <cellStyle name="40% - Accent2 2" xfId="44"/>
    <cellStyle name="40% - Accent2 2 2" xfId="45"/>
    <cellStyle name="40% - Accent2 2 3" xfId="46"/>
    <cellStyle name="40% - Accent2 2 4" xfId="47"/>
    <cellStyle name="40% - Accent2 2 5" xfId="48"/>
    <cellStyle name="40% - Accent2 2 6" xfId="49"/>
    <cellStyle name="40% - Accent3 2" xfId="50"/>
    <cellStyle name="40% - Accent3 2 2" xfId="51"/>
    <cellStyle name="40% - Accent3 2 3" xfId="52"/>
    <cellStyle name="40% - Accent3 2 4" xfId="53"/>
    <cellStyle name="40% - Accent3 2 5" xfId="54"/>
    <cellStyle name="40% - Accent3 2 6" xfId="55"/>
    <cellStyle name="40% - Accent4 2" xfId="56"/>
    <cellStyle name="40% - Accent4 2 2" xfId="57"/>
    <cellStyle name="40% - Accent4 2 3" xfId="58"/>
    <cellStyle name="40% - Accent4 2 4" xfId="59"/>
    <cellStyle name="40% - Accent4 2 5" xfId="60"/>
    <cellStyle name="40% - Accent4 2 6" xfId="61"/>
    <cellStyle name="40% - Accent5 2" xfId="62"/>
    <cellStyle name="40% - Accent5 2 2" xfId="63"/>
    <cellStyle name="40% - Accent5 2 3" xfId="64"/>
    <cellStyle name="40% - Accent5 2 4" xfId="65"/>
    <cellStyle name="40% - Accent5 2 5" xfId="66"/>
    <cellStyle name="40% - Accent5 2 6" xfId="67"/>
    <cellStyle name="40% - Accent6 2" xfId="68"/>
    <cellStyle name="40% - Accent6 2 2" xfId="69"/>
    <cellStyle name="40% - Accent6 2 3" xfId="70"/>
    <cellStyle name="40% - Accent6 2 4" xfId="71"/>
    <cellStyle name="40% - Accent6 2 5" xfId="72"/>
    <cellStyle name="40% - Accent6 2 6" xfId="73"/>
    <cellStyle name="60% - Accent1 2" xfId="74"/>
    <cellStyle name="60% - Accent1 2 2" xfId="75"/>
    <cellStyle name="60% - Accent1 2 3" xfId="76"/>
    <cellStyle name="60% - Accent1 2 4" xfId="77"/>
    <cellStyle name="60% - Accent1 2 5" xfId="78"/>
    <cellStyle name="60% - Accent1 2 6" xfId="79"/>
    <cellStyle name="60% - Accent2 2" xfId="80"/>
    <cellStyle name="60% - Accent2 2 2" xfId="81"/>
    <cellStyle name="60% - Accent2 2 3" xfId="82"/>
    <cellStyle name="60% - Accent2 2 4" xfId="83"/>
    <cellStyle name="60% - Accent2 2 5" xfId="84"/>
    <cellStyle name="60% - Accent2 2 6" xfId="85"/>
    <cellStyle name="60% - Accent3 2" xfId="86"/>
    <cellStyle name="60% - Accent3 2 2" xfId="87"/>
    <cellStyle name="60% - Accent3 2 3" xfId="88"/>
    <cellStyle name="60% - Accent3 2 4" xfId="89"/>
    <cellStyle name="60% - Accent3 2 5" xfId="90"/>
    <cellStyle name="60% - Accent3 2 6" xfId="91"/>
    <cellStyle name="60% - Accent4 2" xfId="92"/>
    <cellStyle name="60% - Accent4 2 2" xfId="93"/>
    <cellStyle name="60% - Accent4 2 3" xfId="94"/>
    <cellStyle name="60% - Accent4 2 4" xfId="95"/>
    <cellStyle name="60% - Accent4 2 5" xfId="96"/>
    <cellStyle name="60% - Accent4 2 6" xfId="97"/>
    <cellStyle name="60% - Accent5 2" xfId="98"/>
    <cellStyle name="60% - Accent5 2 2" xfId="99"/>
    <cellStyle name="60% - Accent5 2 3" xfId="100"/>
    <cellStyle name="60% - Accent5 2 4" xfId="101"/>
    <cellStyle name="60% - Accent5 2 5" xfId="102"/>
    <cellStyle name="60% - Accent5 2 6" xfId="103"/>
    <cellStyle name="60% - Accent6 2" xfId="104"/>
    <cellStyle name="60% - Accent6 2 2" xfId="105"/>
    <cellStyle name="60% - Accent6 2 3" xfId="106"/>
    <cellStyle name="60% - Accent6 2 4" xfId="107"/>
    <cellStyle name="60% - Accent6 2 5" xfId="108"/>
    <cellStyle name="60% - Accent6 2 6" xfId="109"/>
    <cellStyle name="Accent1 2" xfId="110"/>
    <cellStyle name="Accent1 2 2" xfId="111"/>
    <cellStyle name="Accent1 2 3" xfId="112"/>
    <cellStyle name="Accent1 2 4" xfId="113"/>
    <cellStyle name="Accent1 2 5" xfId="114"/>
    <cellStyle name="Accent1 2 6" xfId="115"/>
    <cellStyle name="Accent2 2" xfId="116"/>
    <cellStyle name="Accent2 2 2" xfId="117"/>
    <cellStyle name="Accent2 2 3" xfId="118"/>
    <cellStyle name="Accent2 2 4" xfId="119"/>
    <cellStyle name="Accent2 2 5" xfId="120"/>
    <cellStyle name="Accent2 2 6" xfId="121"/>
    <cellStyle name="Accent3 2" xfId="122"/>
    <cellStyle name="Accent3 2 2" xfId="123"/>
    <cellStyle name="Accent3 2 3" xfId="124"/>
    <cellStyle name="Accent3 2 4" xfId="125"/>
    <cellStyle name="Accent3 2 5" xfId="126"/>
    <cellStyle name="Accent3 2 6" xfId="127"/>
    <cellStyle name="Accent4 2" xfId="128"/>
    <cellStyle name="Accent4 2 2" xfId="129"/>
    <cellStyle name="Accent4 2 3" xfId="130"/>
    <cellStyle name="Accent4 2 4" xfId="131"/>
    <cellStyle name="Accent4 2 5" xfId="132"/>
    <cellStyle name="Accent4 2 6" xfId="133"/>
    <cellStyle name="Accent5 2" xfId="134"/>
    <cellStyle name="Accent5 2 2" xfId="135"/>
    <cellStyle name="Accent5 2 3" xfId="136"/>
    <cellStyle name="Accent5 2 4" xfId="137"/>
    <cellStyle name="Accent5 2 5" xfId="138"/>
    <cellStyle name="Accent5 2 6" xfId="139"/>
    <cellStyle name="Accent6 2" xfId="140"/>
    <cellStyle name="Accent6 2 2" xfId="141"/>
    <cellStyle name="Accent6 2 3" xfId="142"/>
    <cellStyle name="Accent6 2 4" xfId="143"/>
    <cellStyle name="Accent6 2 5" xfId="144"/>
    <cellStyle name="Accent6 2 6" xfId="145"/>
    <cellStyle name="Bad 2" xfId="146"/>
    <cellStyle name="Bad 2 2" xfId="147"/>
    <cellStyle name="Bad 2 3" xfId="148"/>
    <cellStyle name="Bad 2 4" xfId="149"/>
    <cellStyle name="Bad 2 5" xfId="150"/>
    <cellStyle name="Bad 2 6" xfId="151"/>
    <cellStyle name="blk" xfId="152"/>
    <cellStyle name="Calculation 2" xfId="153"/>
    <cellStyle name="Calculation 2 2" xfId="154"/>
    <cellStyle name="Calculation 2 3" xfId="155"/>
    <cellStyle name="Calculation 2 4" xfId="156"/>
    <cellStyle name="Calculation 2 5" xfId="157"/>
    <cellStyle name="Calculation 2 6" xfId="158"/>
    <cellStyle name="Check Cell 2" xfId="159"/>
    <cellStyle name="Check Cell 2 2" xfId="160"/>
    <cellStyle name="Check Cell 2 3" xfId="161"/>
    <cellStyle name="Check Cell 2 4" xfId="162"/>
    <cellStyle name="Check Cell 2 5" xfId="163"/>
    <cellStyle name="Check Cell 2 6" xfId="164"/>
    <cellStyle name="Comma 10 2" xfId="165"/>
    <cellStyle name="Comma 10 3" xfId="166"/>
    <cellStyle name="Comma 12" xfId="167"/>
    <cellStyle name="Comma 12 2" xfId="168"/>
    <cellStyle name="Comma 12 3" xfId="169"/>
    <cellStyle name="Comma 12 4" xfId="170"/>
    <cellStyle name="Comma 12 5" xfId="171"/>
    <cellStyle name="Comma 12 6" xfId="172"/>
    <cellStyle name="Comma 12 7" xfId="173"/>
    <cellStyle name="Comma 12 8" xfId="174"/>
    <cellStyle name="Comma 12 9" xfId="175"/>
    <cellStyle name="Comma 2 2" xfId="176"/>
    <cellStyle name="Comma 2 3" xfId="177"/>
    <cellStyle name="Comma 2 4" xfId="178"/>
    <cellStyle name="Comma 2 5" xfId="179"/>
    <cellStyle name="Comma 2 6" xfId="180"/>
    <cellStyle name="Comma 2 7" xfId="181"/>
    <cellStyle name="Comma 25" xfId="182"/>
    <cellStyle name="Euro" xfId="183"/>
    <cellStyle name="Explanatory Text 2" xfId="184"/>
    <cellStyle name="Explanatory Text 2 2" xfId="185"/>
    <cellStyle name="Explanatory Text 2 3" xfId="186"/>
    <cellStyle name="Explanatory Text 2 4" xfId="187"/>
    <cellStyle name="Explanatory Text 2 5" xfId="188"/>
    <cellStyle name="Explanatory Text 2 6" xfId="189"/>
    <cellStyle name="Good 2" xfId="190"/>
    <cellStyle name="Good 2 2" xfId="191"/>
    <cellStyle name="Good 2 3" xfId="192"/>
    <cellStyle name="Good 2 4" xfId="193"/>
    <cellStyle name="Good 2 5" xfId="194"/>
    <cellStyle name="Good 2 6" xfId="195"/>
    <cellStyle name="Heading 1 2" xfId="196"/>
    <cellStyle name="Heading 1 2 2" xfId="197"/>
    <cellStyle name="Heading 1 2 3" xfId="198"/>
    <cellStyle name="Heading 1 2 4" xfId="199"/>
    <cellStyle name="Heading 1 2 5" xfId="200"/>
    <cellStyle name="Heading 1 2 6" xfId="201"/>
    <cellStyle name="Heading 2 2" xfId="202"/>
    <cellStyle name="Heading 2 2 2" xfId="203"/>
    <cellStyle name="Heading 2 2 3" xfId="204"/>
    <cellStyle name="Heading 2 2 4" xfId="205"/>
    <cellStyle name="Heading 2 2 5" xfId="206"/>
    <cellStyle name="Heading 2 2 6" xfId="207"/>
    <cellStyle name="Heading 3 2" xfId="208"/>
    <cellStyle name="Heading 3 2 2" xfId="209"/>
    <cellStyle name="Heading 3 2 3" xfId="210"/>
    <cellStyle name="Heading 3 2 4" xfId="211"/>
    <cellStyle name="Heading 3 2 5" xfId="212"/>
    <cellStyle name="Heading 3 2 6" xfId="213"/>
    <cellStyle name="Heading 4 2" xfId="214"/>
    <cellStyle name="Heading 4 2 2" xfId="215"/>
    <cellStyle name="Heading 4 2 3" xfId="216"/>
    <cellStyle name="Heading 4 2 4" xfId="217"/>
    <cellStyle name="Heading 4 2 5" xfId="218"/>
    <cellStyle name="Heading 4 2 6" xfId="219"/>
    <cellStyle name="Input 2" xfId="220"/>
    <cellStyle name="Input 2 2" xfId="221"/>
    <cellStyle name="Input 2 3" xfId="222"/>
    <cellStyle name="Input 2 4" xfId="223"/>
    <cellStyle name="Input 2 5" xfId="224"/>
    <cellStyle name="Input 2 6" xfId="225"/>
    <cellStyle name="Linked Cell 2" xfId="226"/>
    <cellStyle name="Linked Cell 2 2" xfId="227"/>
    <cellStyle name="Linked Cell 2 3" xfId="228"/>
    <cellStyle name="Linked Cell 2 4" xfId="229"/>
    <cellStyle name="Linked Cell 2 5" xfId="230"/>
    <cellStyle name="Linked Cell 2 6" xfId="231"/>
    <cellStyle name="Moeda_Impostos IV" xfId="232"/>
    <cellStyle name="Neutral 2" xfId="233"/>
    <cellStyle name="Neutral 2 2" xfId="234"/>
    <cellStyle name="Neutral 2 3" xfId="235"/>
    <cellStyle name="Neutral 2 4" xfId="236"/>
    <cellStyle name="Neutral 2 5" xfId="237"/>
    <cellStyle name="Neutral 2 6" xfId="238"/>
    <cellStyle name="Normal" xfId="0" builtinId="0"/>
    <cellStyle name="Normal 10" xfId="239"/>
    <cellStyle name="Normal 10 10" xfId="240"/>
    <cellStyle name="Normal 10 11" xfId="241"/>
    <cellStyle name="Normal 10 12" xfId="242"/>
    <cellStyle name="Normal 10 13" xfId="243"/>
    <cellStyle name="Normal 10 14" xfId="244"/>
    <cellStyle name="Normal 10 15" xfId="245"/>
    <cellStyle name="Normal 10 16" xfId="246"/>
    <cellStyle name="Normal 10 17" xfId="247"/>
    <cellStyle name="Normal 10 18" xfId="248"/>
    <cellStyle name="Normal 10 19" xfId="249"/>
    <cellStyle name="Normal 10 2" xfId="250"/>
    <cellStyle name="Normal 10 20" xfId="251"/>
    <cellStyle name="Normal 10 21" xfId="252"/>
    <cellStyle name="Normal 10 22" xfId="253"/>
    <cellStyle name="Normal 10 23" xfId="254"/>
    <cellStyle name="Normal 10 24" xfId="255"/>
    <cellStyle name="Normal 10 25" xfId="256"/>
    <cellStyle name="Normal 10 26" xfId="257"/>
    <cellStyle name="Normal 10 27" xfId="258"/>
    <cellStyle name="Normal 10 28" xfId="259"/>
    <cellStyle name="Normal 10 29" xfId="260"/>
    <cellStyle name="Normal 10 3" xfId="261"/>
    <cellStyle name="Normal 10 30" xfId="262"/>
    <cellStyle name="Normal 10 31" xfId="263"/>
    <cellStyle name="Normal 10 32" xfId="264"/>
    <cellStyle name="Normal 10 33" xfId="265"/>
    <cellStyle name="Normal 10 34" xfId="266"/>
    <cellStyle name="Normal 10 35" xfId="267"/>
    <cellStyle name="Normal 10 36" xfId="268"/>
    <cellStyle name="Normal 10 37" xfId="269"/>
    <cellStyle name="Normal 10 38" xfId="270"/>
    <cellStyle name="Normal 10 39" xfId="271"/>
    <cellStyle name="Normal 10 4" xfId="272"/>
    <cellStyle name="Normal 10 40" xfId="273"/>
    <cellStyle name="Normal 10 41" xfId="274"/>
    <cellStyle name="Normal 10 42" xfId="827"/>
    <cellStyle name="Normal 10 5" xfId="275"/>
    <cellStyle name="Normal 10 6" xfId="276"/>
    <cellStyle name="Normal 10 7" xfId="277"/>
    <cellStyle name="Normal 10 8" xfId="278"/>
    <cellStyle name="Normal 10 9" xfId="279"/>
    <cellStyle name="Normal 11 10" xfId="280"/>
    <cellStyle name="Normal 11 11" xfId="281"/>
    <cellStyle name="Normal 11 12" xfId="282"/>
    <cellStyle name="Normal 11 13" xfId="283"/>
    <cellStyle name="Normal 11 14" xfId="284"/>
    <cellStyle name="Normal 11 15" xfId="285"/>
    <cellStyle name="Normal 11 16" xfId="286"/>
    <cellStyle name="Normal 11 16 2" xfId="287"/>
    <cellStyle name="Normal 11 16 3" xfId="288"/>
    <cellStyle name="Normal 11 16 4" xfId="289"/>
    <cellStyle name="Normal 11 16 5" xfId="290"/>
    <cellStyle name="Normal 11 17" xfId="291"/>
    <cellStyle name="Normal 11 18" xfId="292"/>
    <cellStyle name="Normal 11 19" xfId="293"/>
    <cellStyle name="Normal 11 2" xfId="294"/>
    <cellStyle name="Normal 11 20" xfId="295"/>
    <cellStyle name="Normal 11 21" xfId="296"/>
    <cellStyle name="Normal 11 22" xfId="297"/>
    <cellStyle name="Normal 11 23" xfId="298"/>
    <cellStyle name="Normal 11 24" xfId="299"/>
    <cellStyle name="Normal 11 25" xfId="300"/>
    <cellStyle name="Normal 11 26" xfId="301"/>
    <cellStyle name="Normal 11 27" xfId="302"/>
    <cellStyle name="Normal 11 28" xfId="303"/>
    <cellStyle name="Normal 11 29" xfId="304"/>
    <cellStyle name="Normal 11 3" xfId="305"/>
    <cellStyle name="Normal 11 30" xfId="306"/>
    <cellStyle name="Normal 11 31" xfId="307"/>
    <cellStyle name="Normal 11 32" xfId="308"/>
    <cellStyle name="Normal 11 33" xfId="309"/>
    <cellStyle name="Normal 11 34" xfId="310"/>
    <cellStyle name="Normal 11 35" xfId="311"/>
    <cellStyle name="Normal 11 4" xfId="312"/>
    <cellStyle name="Normal 11 5" xfId="313"/>
    <cellStyle name="Normal 11 6" xfId="314"/>
    <cellStyle name="Normal 11 7" xfId="315"/>
    <cellStyle name="Normal 11 8" xfId="316"/>
    <cellStyle name="Normal 11 9" xfId="317"/>
    <cellStyle name="Normal 12" xfId="318"/>
    <cellStyle name="Normal 12 10" xfId="319"/>
    <cellStyle name="Normal 12 11" xfId="320"/>
    <cellStyle name="Normal 12 12" xfId="321"/>
    <cellStyle name="Normal 12 13" xfId="322"/>
    <cellStyle name="Normal 12 14" xfId="323"/>
    <cellStyle name="Normal 12 15" xfId="324"/>
    <cellStyle name="Normal 12 16" xfId="325"/>
    <cellStyle name="Normal 12 17" xfId="326"/>
    <cellStyle name="Normal 12 18" xfId="327"/>
    <cellStyle name="Normal 12 19" xfId="328"/>
    <cellStyle name="Normal 12 2" xfId="329"/>
    <cellStyle name="Normal 12 20" xfId="330"/>
    <cellStyle name="Normal 12 21" xfId="331"/>
    <cellStyle name="Normal 12 22" xfId="332"/>
    <cellStyle name="Normal 12 23" xfId="333"/>
    <cellStyle name="Normal 12 24" xfId="334"/>
    <cellStyle name="Normal 12 25" xfId="335"/>
    <cellStyle name="Normal 12 26" xfId="336"/>
    <cellStyle name="Normal 12 27" xfId="337"/>
    <cellStyle name="Normal 12 28" xfId="338"/>
    <cellStyle name="Normal 12 29" xfId="339"/>
    <cellStyle name="Normal 12 3" xfId="340"/>
    <cellStyle name="Normal 12 30" xfId="341"/>
    <cellStyle name="Normal 12 31" xfId="342"/>
    <cellStyle name="Normal 12 32" xfId="343"/>
    <cellStyle name="Normal 12 33" xfId="344"/>
    <cellStyle name="Normal 12 34" xfId="345"/>
    <cellStyle name="Normal 12 35" xfId="346"/>
    <cellStyle name="Normal 12 36" xfId="347"/>
    <cellStyle name="Normal 12 4" xfId="348"/>
    <cellStyle name="Normal 12 5" xfId="349"/>
    <cellStyle name="Normal 12 6" xfId="350"/>
    <cellStyle name="Normal 12 7" xfId="351"/>
    <cellStyle name="Normal 12 8" xfId="352"/>
    <cellStyle name="Normal 12 9" xfId="353"/>
    <cellStyle name="Normal 13" xfId="354"/>
    <cellStyle name="Normal 14" xfId="355"/>
    <cellStyle name="Normal 14 10" xfId="356"/>
    <cellStyle name="Normal 14 11" xfId="357"/>
    <cellStyle name="Normal 14 12" xfId="358"/>
    <cellStyle name="Normal 14 13" xfId="359"/>
    <cellStyle name="Normal 14 14" xfId="360"/>
    <cellStyle name="Normal 14 15" xfId="361"/>
    <cellStyle name="Normal 14 16" xfId="362"/>
    <cellStyle name="Normal 14 17" xfId="363"/>
    <cellStyle name="Normal 14 18" xfId="364"/>
    <cellStyle name="Normal 14 19" xfId="365"/>
    <cellStyle name="Normal 14 2" xfId="366"/>
    <cellStyle name="Normal 14 20" xfId="367"/>
    <cellStyle name="Normal 14 21" xfId="368"/>
    <cellStyle name="Normal 14 22" xfId="369"/>
    <cellStyle name="Normal 14 3" xfId="370"/>
    <cellStyle name="Normal 14 4" xfId="371"/>
    <cellStyle name="Normal 14 5" xfId="372"/>
    <cellStyle name="Normal 14 6" xfId="373"/>
    <cellStyle name="Normal 14 7" xfId="374"/>
    <cellStyle name="Normal 14 8" xfId="375"/>
    <cellStyle name="Normal 14 9" xfId="376"/>
    <cellStyle name="Normal 15" xfId="377"/>
    <cellStyle name="Normal 16" xfId="378"/>
    <cellStyle name="Normal 16 10" xfId="379"/>
    <cellStyle name="Normal 16 11" xfId="380"/>
    <cellStyle name="Normal 16 12" xfId="381"/>
    <cellStyle name="Normal 16 13" xfId="382"/>
    <cellStyle name="Normal 16 14" xfId="383"/>
    <cellStyle name="Normal 16 15" xfId="384"/>
    <cellStyle name="Normal 16 16" xfId="385"/>
    <cellStyle name="Normal 16 17" xfId="386"/>
    <cellStyle name="Normal 16 18" xfId="387"/>
    <cellStyle name="Normal 16 19" xfId="388"/>
    <cellStyle name="Normal 16 2" xfId="389"/>
    <cellStyle name="Normal 16 20" xfId="390"/>
    <cellStyle name="Normal 16 21" xfId="391"/>
    <cellStyle name="Normal 16 22" xfId="392"/>
    <cellStyle name="Normal 16 23" xfId="393"/>
    <cellStyle name="Normal 16 24" xfId="394"/>
    <cellStyle name="Normal 16 25" xfId="395"/>
    <cellStyle name="Normal 16 26" xfId="396"/>
    <cellStyle name="Normal 16 27" xfId="397"/>
    <cellStyle name="Normal 16 28" xfId="398"/>
    <cellStyle name="Normal 16 29" xfId="399"/>
    <cellStyle name="Normal 16 3" xfId="400"/>
    <cellStyle name="Normal 16 30" xfId="401"/>
    <cellStyle name="Normal 16 31" xfId="402"/>
    <cellStyle name="Normal 16 4" xfId="403"/>
    <cellStyle name="Normal 16 5" xfId="404"/>
    <cellStyle name="Normal 16 6" xfId="405"/>
    <cellStyle name="Normal 16 7" xfId="406"/>
    <cellStyle name="Normal 16 8" xfId="407"/>
    <cellStyle name="Normal 16 9" xfId="408"/>
    <cellStyle name="Normal 17 10" xfId="409"/>
    <cellStyle name="Normal 17 11" xfId="410"/>
    <cellStyle name="Normal 17 12" xfId="411"/>
    <cellStyle name="Normal 17 13" xfId="412"/>
    <cellStyle name="Normal 17 14" xfId="413"/>
    <cellStyle name="Normal 17 15" xfId="414"/>
    <cellStyle name="Normal 17 16" xfId="415"/>
    <cellStyle name="Normal 17 17" xfId="416"/>
    <cellStyle name="Normal 17 18" xfId="417"/>
    <cellStyle name="Normal 17 2" xfId="418"/>
    <cellStyle name="Normal 17 3" xfId="419"/>
    <cellStyle name="Normal 17 4" xfId="420"/>
    <cellStyle name="Normal 17 5" xfId="421"/>
    <cellStyle name="Normal 17 6" xfId="422"/>
    <cellStyle name="Normal 17 7" xfId="423"/>
    <cellStyle name="Normal 17 8" xfId="424"/>
    <cellStyle name="Normal 17 9" xfId="425"/>
    <cellStyle name="Normal 18" xfId="426"/>
    <cellStyle name="Normal 18 2" xfId="427"/>
    <cellStyle name="Normal 18 3" xfId="428"/>
    <cellStyle name="Normal 18 4" xfId="429"/>
    <cellStyle name="Normal 18 5" xfId="430"/>
    <cellStyle name="Normal 18 6" xfId="431"/>
    <cellStyle name="Normal 18 7" xfId="432"/>
    <cellStyle name="Normal 18 8" xfId="433"/>
    <cellStyle name="Normal 18 9" xfId="434"/>
    <cellStyle name="Normal 19" xfId="435"/>
    <cellStyle name="Normal 19 2" xfId="436"/>
    <cellStyle name="Normal 19 3" xfId="437"/>
    <cellStyle name="Normal 19 4" xfId="438"/>
    <cellStyle name="Normal 19 5" xfId="439"/>
    <cellStyle name="Normal 19 6" xfId="440"/>
    <cellStyle name="Normal 19 7" xfId="441"/>
    <cellStyle name="Normal 19 8" xfId="442"/>
    <cellStyle name="Normal 19 9" xfId="443"/>
    <cellStyle name="Normal 2" xfId="444"/>
    <cellStyle name="Normal 2 10" xfId="445"/>
    <cellStyle name="Normal 2 11" xfId="446"/>
    <cellStyle name="Normal 2 12" xfId="447"/>
    <cellStyle name="Normal 2 13" xfId="448"/>
    <cellStyle name="Normal 2 14" xfId="449"/>
    <cellStyle name="Normal 2 15" xfId="450"/>
    <cellStyle name="Normal 2 16" xfId="451"/>
    <cellStyle name="Normal 2 17" xfId="452"/>
    <cellStyle name="Normal 2 18" xfId="453"/>
    <cellStyle name="Normal 2 19" xfId="454"/>
    <cellStyle name="Normal 2 2" xfId="455"/>
    <cellStyle name="Normal 2 20" xfId="456"/>
    <cellStyle name="Normal 2 21" xfId="457"/>
    <cellStyle name="Normal 2 22" xfId="458"/>
    <cellStyle name="Normal 2 23" xfId="459"/>
    <cellStyle name="Normal 2 24" xfId="460"/>
    <cellStyle name="Normal 2 25" xfId="461"/>
    <cellStyle name="Normal 2 26" xfId="462"/>
    <cellStyle name="Normal 2 27" xfId="463"/>
    <cellStyle name="Normal 2 28" xfId="464"/>
    <cellStyle name="Normal 2 29" xfId="465"/>
    <cellStyle name="Normal 2 3" xfId="466"/>
    <cellStyle name="Normal 2 30" xfId="467"/>
    <cellStyle name="Normal 2 31" xfId="468"/>
    <cellStyle name="Normal 2 32" xfId="469"/>
    <cellStyle name="Normal 2 33" xfId="470"/>
    <cellStyle name="Normal 2 34" xfId="471"/>
    <cellStyle name="Normal 2 35" xfId="472"/>
    <cellStyle name="Normal 2 36" xfId="473"/>
    <cellStyle name="Normal 2 37" xfId="474"/>
    <cellStyle name="Normal 2 38" xfId="475"/>
    <cellStyle name="Normal 2 39" xfId="476"/>
    <cellStyle name="Normal 2 4" xfId="477"/>
    <cellStyle name="Normal 2 40" xfId="478"/>
    <cellStyle name="Normal 2 41" xfId="479"/>
    <cellStyle name="Normal 2 42" xfId="480"/>
    <cellStyle name="Normal 2 43" xfId="481"/>
    <cellStyle name="Normal 2 44" xfId="482"/>
    <cellStyle name="Normal 2 45" xfId="483"/>
    <cellStyle name="Normal 2 46" xfId="484"/>
    <cellStyle name="Normal 2 47" xfId="485"/>
    <cellStyle name="Normal 2 48" xfId="486"/>
    <cellStyle name="Normal 2 49" xfId="487"/>
    <cellStyle name="Normal 2 5" xfId="488"/>
    <cellStyle name="Normal 2 50" xfId="489"/>
    <cellStyle name="Normal 2 51" xfId="490"/>
    <cellStyle name="Normal 2 52" xfId="826"/>
    <cellStyle name="Normal 2 6" xfId="491"/>
    <cellStyle name="Normal 2 7" xfId="492"/>
    <cellStyle name="Normal 2 8" xfId="493"/>
    <cellStyle name="Normal 2 9" xfId="494"/>
    <cellStyle name="Normal 20" xfId="495"/>
    <cellStyle name="Normal 20 2" xfId="496"/>
    <cellStyle name="Normal 20 3" xfId="497"/>
    <cellStyle name="Normal 20 4" xfId="498"/>
    <cellStyle name="Normal 20 5" xfId="499"/>
    <cellStyle name="Normal 20 6" xfId="500"/>
    <cellStyle name="Normal 20 7" xfId="501"/>
    <cellStyle name="Normal 20 8" xfId="502"/>
    <cellStyle name="Normal 20 9" xfId="503"/>
    <cellStyle name="Normal 23" xfId="504"/>
    <cellStyle name="Normal 23 2" xfId="505"/>
    <cellStyle name="Normal 23 3" xfId="506"/>
    <cellStyle name="Normal 23 4" xfId="507"/>
    <cellStyle name="Normal 23 5" xfId="508"/>
    <cellStyle name="Normal 23 6" xfId="509"/>
    <cellStyle name="Normal 3" xfId="510"/>
    <cellStyle name="Normal 3 10" xfId="511"/>
    <cellStyle name="Normal 3 11" xfId="512"/>
    <cellStyle name="Normal 3 12" xfId="513"/>
    <cellStyle name="Normal 3 13" xfId="514"/>
    <cellStyle name="Normal 3 14" xfId="515"/>
    <cellStyle name="Normal 3 15" xfId="516"/>
    <cellStyle name="Normal 3 16" xfId="517"/>
    <cellStyle name="Normal 3 17" xfId="518"/>
    <cellStyle name="Normal 3 18" xfId="519"/>
    <cellStyle name="Normal 3 2" xfId="520"/>
    <cellStyle name="Normal 3 3" xfId="521"/>
    <cellStyle name="Normal 3 4" xfId="522"/>
    <cellStyle name="Normal 3 5" xfId="523"/>
    <cellStyle name="Normal 3 6" xfId="524"/>
    <cellStyle name="Normal 3 7" xfId="525"/>
    <cellStyle name="Normal 3 8" xfId="526"/>
    <cellStyle name="Normal 3 9" xfId="527"/>
    <cellStyle name="Normal 32" xfId="528"/>
    <cellStyle name="Normal 32 2" xfId="529"/>
    <cellStyle name="Normal 32 3" xfId="530"/>
    <cellStyle name="Normal 32 4" xfId="531"/>
    <cellStyle name="Normal 32 5" xfId="532"/>
    <cellStyle name="Normal 32 6" xfId="533"/>
    <cellStyle name="Normal 33" xfId="534"/>
    <cellStyle name="Normal 33 2" xfId="535"/>
    <cellStyle name="Normal 33 3" xfId="536"/>
    <cellStyle name="Normal 33 4" xfId="537"/>
    <cellStyle name="Normal 33 5" xfId="538"/>
    <cellStyle name="Normal 33 6" xfId="539"/>
    <cellStyle name="Normal 34" xfId="540"/>
    <cellStyle name="Normal 34 2" xfId="541"/>
    <cellStyle name="Normal 34 3" xfId="542"/>
    <cellStyle name="Normal 34 4" xfId="543"/>
    <cellStyle name="Normal 34 5" xfId="544"/>
    <cellStyle name="Normal 34 6" xfId="545"/>
    <cellStyle name="Normal 35" xfId="546"/>
    <cellStyle name="Normal 36" xfId="547"/>
    <cellStyle name="Normal 37" xfId="548"/>
    <cellStyle name="Normal 38" xfId="549"/>
    <cellStyle name="Normal 39" xfId="550"/>
    <cellStyle name="Normal 4 10" xfId="551"/>
    <cellStyle name="Normal 4 11" xfId="552"/>
    <cellStyle name="Normal 4 12" xfId="553"/>
    <cellStyle name="Normal 4 13" xfId="554"/>
    <cellStyle name="Normal 4 14" xfId="555"/>
    <cellStyle name="Normal 4 15" xfId="556"/>
    <cellStyle name="Normal 4 16" xfId="557"/>
    <cellStyle name="Normal 4 17" xfId="558"/>
    <cellStyle name="Normal 4 18" xfId="559"/>
    <cellStyle name="Normal 4 2" xfId="560"/>
    <cellStyle name="Normal 4 3" xfId="561"/>
    <cellStyle name="Normal 4 4" xfId="562"/>
    <cellStyle name="Normal 4 5" xfId="563"/>
    <cellStyle name="Normal 4 6" xfId="564"/>
    <cellStyle name="Normal 4 7" xfId="565"/>
    <cellStyle name="Normal 4 8" xfId="566"/>
    <cellStyle name="Normal 4 9" xfId="567"/>
    <cellStyle name="Normal 40" xfId="568"/>
    <cellStyle name="Normal 41" xfId="569"/>
    <cellStyle name="Normal 42" xfId="570"/>
    <cellStyle name="Normal 43" xfId="571"/>
    <cellStyle name="Normal 44" xfId="572"/>
    <cellStyle name="Normal 45" xfId="573"/>
    <cellStyle name="Normal 47" xfId="574"/>
    <cellStyle name="Normal 48" xfId="575"/>
    <cellStyle name="Normal 49" xfId="576"/>
    <cellStyle name="Normal 49 2" xfId="577"/>
    <cellStyle name="Normal 5 10" xfId="578"/>
    <cellStyle name="Normal 5 11" xfId="579"/>
    <cellStyle name="Normal 5 12" xfId="580"/>
    <cellStyle name="Normal 5 13" xfId="581"/>
    <cellStyle name="Normal 5 14" xfId="582"/>
    <cellStyle name="Normal 5 15" xfId="583"/>
    <cellStyle name="Normal 5 16" xfId="584"/>
    <cellStyle name="Normal 5 17" xfId="585"/>
    <cellStyle name="Normal 5 18" xfId="586"/>
    <cellStyle name="Normal 5 19" xfId="587"/>
    <cellStyle name="Normal 5 2" xfId="588"/>
    <cellStyle name="Normal 5 20" xfId="589"/>
    <cellStyle name="Normal 5 21" xfId="590"/>
    <cellStyle name="Normal 5 22" xfId="591"/>
    <cellStyle name="Normal 5 23" xfId="592"/>
    <cellStyle name="Normal 5 24" xfId="593"/>
    <cellStyle name="Normal 5 25" xfId="594"/>
    <cellStyle name="Normal 5 26" xfId="595"/>
    <cellStyle name="Normal 5 27" xfId="596"/>
    <cellStyle name="Normal 5 28" xfId="597"/>
    <cellStyle name="Normal 5 29" xfId="598"/>
    <cellStyle name="Normal 5 3" xfId="599"/>
    <cellStyle name="Normal 5 30" xfId="600"/>
    <cellStyle name="Normal 5 31" xfId="601"/>
    <cellStyle name="Normal 5 32" xfId="602"/>
    <cellStyle name="Normal 5 33" xfId="603"/>
    <cellStyle name="Normal 5 34" xfId="604"/>
    <cellStyle name="Normal 5 4" xfId="605"/>
    <cellStyle name="Normal 5 5" xfId="606"/>
    <cellStyle name="Normal 5 6" xfId="607"/>
    <cellStyle name="Normal 5 7" xfId="608"/>
    <cellStyle name="Normal 5 8" xfId="609"/>
    <cellStyle name="Normal 5 9" xfId="610"/>
    <cellStyle name="Normal 50" xfId="611"/>
    <cellStyle name="Normal 50 2" xfId="612"/>
    <cellStyle name="Normal 50 3" xfId="829"/>
    <cellStyle name="Normal 51" xfId="613"/>
    <cellStyle name="Normal 51 2" xfId="614"/>
    <cellStyle name="Normal 51 3" xfId="828"/>
    <cellStyle name="Normal 6" xfId="615"/>
    <cellStyle name="Normal 6 10" xfId="616"/>
    <cellStyle name="Normal 6 11" xfId="617"/>
    <cellStyle name="Normal 6 12" xfId="618"/>
    <cellStyle name="Normal 6 13" xfId="619"/>
    <cellStyle name="Normal 6 14" xfId="620"/>
    <cellStyle name="Normal 6 15" xfId="621"/>
    <cellStyle name="Normal 6 16" xfId="622"/>
    <cellStyle name="Normal 6 17" xfId="623"/>
    <cellStyle name="Normal 6 18" xfId="624"/>
    <cellStyle name="Normal 6 19" xfId="625"/>
    <cellStyle name="Normal 6 2" xfId="626"/>
    <cellStyle name="Normal 6 20" xfId="627"/>
    <cellStyle name="Normal 6 21" xfId="628"/>
    <cellStyle name="Normal 6 22" xfId="629"/>
    <cellStyle name="Normal 6 23" xfId="630"/>
    <cellStyle name="Normal 6 24" xfId="631"/>
    <cellStyle name="Normal 6 25" xfId="632"/>
    <cellStyle name="Normal 6 26" xfId="633"/>
    <cellStyle name="Normal 6 27" xfId="634"/>
    <cellStyle name="Normal 6 28" xfId="635"/>
    <cellStyle name="Normal 6 29" xfId="636"/>
    <cellStyle name="Normal 6 3" xfId="637"/>
    <cellStyle name="Normal 6 30" xfId="638"/>
    <cellStyle name="Normal 6 31" xfId="639"/>
    <cellStyle name="Normal 6 32" xfId="640"/>
    <cellStyle name="Normal 6 33" xfId="641"/>
    <cellStyle name="Normal 6 34" xfId="642"/>
    <cellStyle name="Normal 6 35" xfId="643"/>
    <cellStyle name="Normal 6 36" xfId="644"/>
    <cellStyle name="Normal 6 37" xfId="645"/>
    <cellStyle name="Normal 6 38" xfId="646"/>
    <cellStyle name="Normal 6 39" xfId="647"/>
    <cellStyle name="Normal 6 4" xfId="648"/>
    <cellStyle name="Normal 6 40" xfId="649"/>
    <cellStyle name="Normal 6 41" xfId="650"/>
    <cellStyle name="Normal 6 42" xfId="651"/>
    <cellStyle name="Normal 6 43" xfId="652"/>
    <cellStyle name="Normal 6 44" xfId="653"/>
    <cellStyle name="Normal 6 5" xfId="654"/>
    <cellStyle name="Normal 6 6" xfId="655"/>
    <cellStyle name="Normal 6 7" xfId="656"/>
    <cellStyle name="Normal 6 8" xfId="657"/>
    <cellStyle name="Normal 6 9" xfId="658"/>
    <cellStyle name="Normal 7" xfId="659"/>
    <cellStyle name="Normal 7 10" xfId="660"/>
    <cellStyle name="Normal 7 11" xfId="661"/>
    <cellStyle name="Normal 7 12" xfId="662"/>
    <cellStyle name="Normal 7 13" xfId="663"/>
    <cellStyle name="Normal 7 14" xfId="664"/>
    <cellStyle name="Normal 7 15" xfId="665"/>
    <cellStyle name="Normal 7 16" xfId="666"/>
    <cellStyle name="Normal 7 17" xfId="667"/>
    <cellStyle name="Normal 7 18" xfId="668"/>
    <cellStyle name="Normal 7 19" xfId="669"/>
    <cellStyle name="Normal 7 2" xfId="670"/>
    <cellStyle name="Normal 7 20" xfId="671"/>
    <cellStyle name="Normal 7 21" xfId="672"/>
    <cellStyle name="Normal 7 22" xfId="673"/>
    <cellStyle name="Normal 7 23" xfId="674"/>
    <cellStyle name="Normal 7 24" xfId="675"/>
    <cellStyle name="Normal 7 25" xfId="676"/>
    <cellStyle name="Normal 7 26" xfId="677"/>
    <cellStyle name="Normal 7 27" xfId="678"/>
    <cellStyle name="Normal 7 28" xfId="679"/>
    <cellStyle name="Normal 7 29" xfId="680"/>
    <cellStyle name="Normal 7 3" xfId="681"/>
    <cellStyle name="Normal 7 30" xfId="682"/>
    <cellStyle name="Normal 7 31" xfId="683"/>
    <cellStyle name="Normal 7 32" xfId="684"/>
    <cellStyle name="Normal 7 33" xfId="685"/>
    <cellStyle name="Normal 7 34" xfId="686"/>
    <cellStyle name="Normal 7 35" xfId="687"/>
    <cellStyle name="Normal 7 36" xfId="688"/>
    <cellStyle name="Normal 7 37" xfId="689"/>
    <cellStyle name="Normal 7 38" xfId="690"/>
    <cellStyle name="Normal 7 39" xfId="691"/>
    <cellStyle name="Normal 7 4" xfId="692"/>
    <cellStyle name="Normal 7 40" xfId="693"/>
    <cellStyle name="Normal 7 41" xfId="694"/>
    <cellStyle name="Normal 7 42" xfId="695"/>
    <cellStyle name="Normal 7 43" xfId="696"/>
    <cellStyle name="Normal 7 44" xfId="697"/>
    <cellStyle name="Normal 7 5" xfId="698"/>
    <cellStyle name="Normal 7 6" xfId="699"/>
    <cellStyle name="Normal 7 7" xfId="700"/>
    <cellStyle name="Normal 7 8" xfId="701"/>
    <cellStyle name="Normal 7 9" xfId="702"/>
    <cellStyle name="Normal 8 10" xfId="703"/>
    <cellStyle name="Normal 8 11" xfId="704"/>
    <cellStyle name="Normal 8 12" xfId="705"/>
    <cellStyle name="Normal 8 13" xfId="706"/>
    <cellStyle name="Normal 8 14" xfId="707"/>
    <cellStyle name="Normal 8 15" xfId="708"/>
    <cellStyle name="Normal 8 16" xfId="709"/>
    <cellStyle name="Normal 8 17" xfId="710"/>
    <cellStyle name="Normal 8 18" xfId="711"/>
    <cellStyle name="Normal 8 19" xfId="712"/>
    <cellStyle name="Normal 8 2" xfId="713"/>
    <cellStyle name="Normal 8 20" xfId="714"/>
    <cellStyle name="Normal 8 21" xfId="715"/>
    <cellStyle name="Normal 8 22" xfId="716"/>
    <cellStyle name="Normal 8 23" xfId="717"/>
    <cellStyle name="Normal 8 24" xfId="718"/>
    <cellStyle name="Normal 8 25" xfId="719"/>
    <cellStyle name="Normal 8 26" xfId="720"/>
    <cellStyle name="Normal 8 27" xfId="721"/>
    <cellStyle name="Normal 8 28" xfId="722"/>
    <cellStyle name="Normal 8 29" xfId="723"/>
    <cellStyle name="Normal 8 3" xfId="724"/>
    <cellStyle name="Normal 8 30" xfId="725"/>
    <cellStyle name="Normal 8 31" xfId="726"/>
    <cellStyle name="Normal 8 32" xfId="727"/>
    <cellStyle name="Normal 8 33" xfId="728"/>
    <cellStyle name="Normal 8 34" xfId="729"/>
    <cellStyle name="Normal 8 35" xfId="730"/>
    <cellStyle name="Normal 8 36" xfId="731"/>
    <cellStyle name="Normal 8 37" xfId="732"/>
    <cellStyle name="Normal 8 4" xfId="733"/>
    <cellStyle name="Normal 8 5" xfId="734"/>
    <cellStyle name="Normal 8 6" xfId="735"/>
    <cellStyle name="Normal 8 7" xfId="736"/>
    <cellStyle name="Normal 8 8" xfId="737"/>
    <cellStyle name="Normal 8 9" xfId="738"/>
    <cellStyle name="Normal 9" xfId="739"/>
    <cellStyle name="Normal 9 10" xfId="740"/>
    <cellStyle name="Normal 9 11" xfId="741"/>
    <cellStyle name="Normal 9 12" xfId="742"/>
    <cellStyle name="Normal 9 13" xfId="743"/>
    <cellStyle name="Normal 9 14" xfId="744"/>
    <cellStyle name="Normal 9 15" xfId="745"/>
    <cellStyle name="Normal 9 16" xfId="746"/>
    <cellStyle name="Normal 9 17" xfId="747"/>
    <cellStyle name="Normal 9 18" xfId="748"/>
    <cellStyle name="Normal 9 19" xfId="749"/>
    <cellStyle name="Normal 9 2" xfId="750"/>
    <cellStyle name="Normal 9 20" xfId="751"/>
    <cellStyle name="Normal 9 21" xfId="752"/>
    <cellStyle name="Normal 9 22" xfId="753"/>
    <cellStyle name="Normal 9 23" xfId="754"/>
    <cellStyle name="Normal 9 24" xfId="755"/>
    <cellStyle name="Normal 9 25" xfId="756"/>
    <cellStyle name="Normal 9 26" xfId="757"/>
    <cellStyle name="Normal 9 27" xfId="758"/>
    <cellStyle name="Normal 9 28" xfId="759"/>
    <cellStyle name="Normal 9 29" xfId="760"/>
    <cellStyle name="Normal 9 3" xfId="761"/>
    <cellStyle name="Normal 9 30" xfId="762"/>
    <cellStyle name="Normal 9 31" xfId="763"/>
    <cellStyle name="Normal 9 32" xfId="764"/>
    <cellStyle name="Normal 9 33" xfId="765"/>
    <cellStyle name="Normal 9 34" xfId="766"/>
    <cellStyle name="Normal 9 35" xfId="767"/>
    <cellStyle name="Normal 9 36" xfId="768"/>
    <cellStyle name="Normal 9 37" xfId="769"/>
    <cellStyle name="Normal 9 38" xfId="770"/>
    <cellStyle name="Normal 9 39" xfId="771"/>
    <cellStyle name="Normal 9 4" xfId="772"/>
    <cellStyle name="Normal 9 40" xfId="773"/>
    <cellStyle name="Normal 9 41" xfId="774"/>
    <cellStyle name="Normal 9 5" xfId="775"/>
    <cellStyle name="Normal 9 6" xfId="776"/>
    <cellStyle name="Normal 9 7" xfId="777"/>
    <cellStyle name="Normal 9 8" xfId="778"/>
    <cellStyle name="Normal 9 9" xfId="779"/>
    <cellStyle name="Note 2" xfId="780"/>
    <cellStyle name="Note 2 2" xfId="781"/>
    <cellStyle name="Note 2 3" xfId="782"/>
    <cellStyle name="Note 2 4" xfId="783"/>
    <cellStyle name="Note 2 5" xfId="784"/>
    <cellStyle name="Note 2 6" xfId="785"/>
    <cellStyle name="Output 2" xfId="786"/>
    <cellStyle name="Output 2 2" xfId="787"/>
    <cellStyle name="Output 2 3" xfId="788"/>
    <cellStyle name="Output 2 4" xfId="789"/>
    <cellStyle name="Output 2 5" xfId="790"/>
    <cellStyle name="Output 2 6" xfId="791"/>
    <cellStyle name="Percent" xfId="792" builtinId="5"/>
    <cellStyle name="Percent 10 2" xfId="793"/>
    <cellStyle name="Percent 10 3" xfId="794"/>
    <cellStyle name="Percent 2" xfId="795"/>
    <cellStyle name="Percent 2 2" xfId="796"/>
    <cellStyle name="Percent 2 3" xfId="797"/>
    <cellStyle name="Percent 2 4" xfId="798"/>
    <cellStyle name="Percent 2 5" xfId="799"/>
    <cellStyle name="Percent 2 6" xfId="800"/>
    <cellStyle name="Percent 2 7" xfId="801"/>
    <cellStyle name="Percent 6 2" xfId="802"/>
    <cellStyle name="Percent 6 3" xfId="803"/>
    <cellStyle name="Percent 6 4" xfId="804"/>
    <cellStyle name="Percent 6 5" xfId="805"/>
    <cellStyle name="Percent 6 6" xfId="806"/>
    <cellStyle name="Style 1" xfId="807"/>
    <cellStyle name="Title 2" xfId="808"/>
    <cellStyle name="Title 2 2" xfId="809"/>
    <cellStyle name="Title 2 3" xfId="810"/>
    <cellStyle name="Title 2 4" xfId="811"/>
    <cellStyle name="Title 2 5" xfId="812"/>
    <cellStyle name="Title 2 6" xfId="813"/>
    <cellStyle name="Total 2" xfId="814"/>
    <cellStyle name="Total 2 2" xfId="815"/>
    <cellStyle name="Total 2 3" xfId="816"/>
    <cellStyle name="Total 2 4" xfId="817"/>
    <cellStyle name="Total 2 5" xfId="818"/>
    <cellStyle name="Total 2 6" xfId="819"/>
    <cellStyle name="Warning Text 2" xfId="820"/>
    <cellStyle name="Warning Text 2 2" xfId="821"/>
    <cellStyle name="Warning Text 2 3" xfId="822"/>
    <cellStyle name="Warning Text 2 4" xfId="823"/>
    <cellStyle name="Warning Text 2 5" xfId="824"/>
    <cellStyle name="Warning Text 2 6" xfId="825"/>
  </cellStyles>
  <dxfs count="5"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000080"/>
      <color rgb="FF000099"/>
      <color rgb="FF0000FF"/>
      <color rgb="FF006600"/>
      <color rgb="FFF9DDB5"/>
      <color rgb="FFFF0066"/>
      <color rgb="FFF7D29B"/>
      <color rgb="FFF1B051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152400</xdr:rowOff>
    </xdr:from>
    <xdr:to>
      <xdr:col>13</xdr:col>
      <xdr:colOff>28574</xdr:colOff>
      <xdr:row>62</xdr:row>
      <xdr:rowOff>9525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4299" y="476250"/>
          <a:ext cx="6753225" cy="9734550"/>
        </a:xfrm>
        <a:prstGeom prst="rect">
          <a:avLst/>
        </a:prstGeom>
        <a:noFill/>
        <a:ln w="38100" cmpd="dbl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endParaRPr lang="en-AU" sz="10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+mn-lt"/>
              <a:cs typeface="Arial"/>
            </a:rPr>
            <a:t>Scope :</a:t>
          </a: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The </a:t>
          </a:r>
          <a:r>
            <a:rPr lang="en-AU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SAGDesign_Mill_sizing</a:t>
          </a: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 spreadsheet was designed to determine the most appropriate mill dimensions and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operating conditions for a given grinding task (known ore properties, target plant throughput, feed and product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sizes), based on the </a:t>
          </a:r>
          <a:r>
            <a:rPr lang="en-AU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SAGDesign™ Methodology </a:t>
          </a: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and the </a:t>
          </a:r>
          <a:r>
            <a:rPr lang="en-AU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Nordberg Power Model</a:t>
          </a: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.</a:t>
          </a: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The Bond tests was developped for rod and ball milling when those technologies were widely used in the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early 1900's. Still in the 1980's, the determination of the mill size for both autogenous and semi-autogenous grinding was not possible and motivated </a:t>
          </a:r>
          <a:r>
            <a:rPr lang="en-AU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John Starkey </a:t>
          </a: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to develop a new grinding bench scale test allowing the sizing of those equipments regardless of their size.</a:t>
          </a:r>
        </a:p>
        <a:p>
          <a:pPr rtl="0"/>
          <a:endParaRPr lang="en-CA" sz="1000">
            <a:effectLst/>
            <a:latin typeface="+mn-lt"/>
          </a:endParaRPr>
        </a:p>
        <a:p>
          <a:pPr rtl="0"/>
          <a:r>
            <a:rPr lang="en-AU" sz="1100" b="1" i="0" baseline="0">
              <a:solidFill>
                <a:srgbClr val="000080"/>
              </a:solidFill>
              <a:effectLst/>
              <a:latin typeface="+mn-lt"/>
              <a:ea typeface="+mn-ea"/>
              <a:cs typeface="+mn-cs"/>
            </a:rPr>
            <a:t>SAGDesign™ Testwork Description :</a:t>
          </a:r>
          <a:endParaRPr lang="en-CA" sz="1000">
            <a:solidFill>
              <a:srgbClr val="000080"/>
            </a:solidFill>
            <a:effectLst/>
            <a:latin typeface="+mn-lt"/>
          </a:endParaRPr>
        </a:p>
        <a:p>
          <a:pPr algn="l" rtl="0">
            <a:defRPr sz="1000"/>
          </a:pPr>
          <a:endParaRPr lang="en-AU" sz="1000" b="1" i="0" u="none" strike="noStrike" baseline="0">
            <a:solidFill>
              <a:srgbClr val="00008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00" b="1">
              <a:effectLst/>
              <a:latin typeface="+mn-lt"/>
              <a:ea typeface="+mn-ea"/>
              <a:cs typeface="Arial" panose="020B0604020202020204" pitchFamily="34" charset="0"/>
            </a:rPr>
            <a:t>SAGDesign™</a:t>
          </a:r>
          <a:r>
            <a:rPr lang="en-US" sz="1000">
              <a:effectLst/>
              <a:latin typeface="+mn-lt"/>
              <a:ea typeface="+mn-ea"/>
              <a:cs typeface="Arial" panose="020B0604020202020204" pitchFamily="34" charset="0"/>
            </a:rPr>
            <a:t> testing measures the macro and micro ore hardness by means of a SAG mill test and a standard Bond Ball Mill Work Index test on SAG ground ore. Ore feed is prepared from a minimum of 10 kg of split diamond drill core samples by stage crushing the ore in a jaw crusher to 80% product passing 19 mm. The SAG test reproduces commercial SAG mill grinding conditions on 4.5 L of ore and determines the </a:t>
          </a:r>
          <a:r>
            <a:rPr lang="en-US" sz="1000" b="1">
              <a:effectLst/>
              <a:latin typeface="+mn-lt"/>
              <a:ea typeface="+mn-ea"/>
              <a:cs typeface="Arial" panose="020B0604020202020204" pitchFamily="34" charset="0"/>
            </a:rPr>
            <a:t>SAG mill specific pinion energy to grind ore from 80% passing 152 mm to 80% passing 1.7 mm </a:t>
          </a:r>
          <a:r>
            <a:rPr lang="en-US" sz="1000">
              <a:effectLst/>
              <a:latin typeface="+mn-lt"/>
              <a:ea typeface="+mn-ea"/>
              <a:cs typeface="Arial" panose="020B0604020202020204" pitchFamily="34" charset="0"/>
            </a:rPr>
            <a:t>(</a:t>
          </a:r>
          <a:r>
            <a:rPr lang="en-US" sz="1000" b="1">
              <a:effectLst/>
              <a:latin typeface="+mn-lt"/>
              <a:ea typeface="+mn-ea"/>
              <a:cs typeface="Arial" panose="020B0604020202020204" pitchFamily="34" charset="0"/>
            </a:rPr>
            <a:t>W</a:t>
          </a:r>
          <a:r>
            <a:rPr lang="en-US" sz="1000" b="1" baseline="-25000">
              <a:effectLst/>
              <a:latin typeface="+mn-lt"/>
              <a:ea typeface="+mn-ea"/>
              <a:cs typeface="Arial" panose="020B0604020202020204" pitchFamily="34" charset="0"/>
            </a:rPr>
            <a:t>SDT</a:t>
          </a:r>
          <a:r>
            <a:rPr lang="en-US" sz="1000">
              <a:effectLst/>
              <a:latin typeface="+mn-lt"/>
              <a:ea typeface="+mn-ea"/>
              <a:cs typeface="Arial" panose="020B0604020202020204" pitchFamily="34" charset="0"/>
            </a:rPr>
            <a:t>), herein referred to as </a:t>
          </a:r>
          <a:r>
            <a:rPr lang="en-US" sz="1000" b="1">
              <a:effectLst/>
              <a:latin typeface="+mn-lt"/>
              <a:ea typeface="+mn-ea"/>
              <a:cs typeface="Arial" panose="020B0604020202020204" pitchFamily="34" charset="0"/>
            </a:rPr>
            <a:t>macro ore hardness</a:t>
          </a:r>
          <a:r>
            <a:rPr lang="en-US" sz="1000">
              <a:effectLst/>
              <a:latin typeface="+mn-lt"/>
              <a:ea typeface="+mn-ea"/>
              <a:cs typeface="Arial" panose="020B0604020202020204" pitchFamily="34" charset="0"/>
            </a:rPr>
            <a:t>. The SAG mill product is then crushed to 100% passing 3.35 mm and is subjected to the</a:t>
          </a:r>
          <a:r>
            <a:rPr lang="en-US" sz="1000" baseline="0"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n-US" sz="1000" b="1">
              <a:effectLst/>
              <a:latin typeface="+mn-lt"/>
              <a:ea typeface="+mn-ea"/>
              <a:cs typeface="Arial" panose="020B0604020202020204" pitchFamily="34" charset="0"/>
            </a:rPr>
            <a:t>Bond ball mill work index</a:t>
          </a:r>
          <a:r>
            <a:rPr lang="en-US" sz="1000">
              <a:effectLst/>
              <a:latin typeface="+mn-lt"/>
              <a:ea typeface="+mn-ea"/>
              <a:cs typeface="Arial" panose="020B0604020202020204" pitchFamily="34" charset="0"/>
            </a:rPr>
            <a:t> (</a:t>
          </a:r>
          <a:r>
            <a:rPr lang="en-US" sz="1000" b="1">
              <a:effectLst/>
              <a:latin typeface="+mn-lt"/>
              <a:ea typeface="+mn-ea"/>
              <a:cs typeface="Arial" panose="020B0604020202020204" pitchFamily="34" charset="0"/>
            </a:rPr>
            <a:t>S</a:t>
          </a:r>
          <a:r>
            <a:rPr lang="en-US" sz="1000" b="1" baseline="-25000">
              <a:effectLst/>
              <a:latin typeface="+mn-lt"/>
              <a:ea typeface="+mn-ea"/>
              <a:cs typeface="Arial" panose="020B0604020202020204" pitchFamily="34" charset="0"/>
            </a:rPr>
            <a:t>d</a:t>
          </a:r>
          <a:r>
            <a:rPr lang="en-US" sz="1000" b="1">
              <a:effectLst/>
              <a:latin typeface="+mn-lt"/>
              <a:ea typeface="+mn-ea"/>
              <a:cs typeface="Arial" panose="020B0604020202020204" pitchFamily="34" charset="0"/>
            </a:rPr>
            <a:t>-BWI</a:t>
          </a:r>
          <a:r>
            <a:rPr lang="en-US" sz="1000">
              <a:effectLst/>
              <a:latin typeface="+mn-lt"/>
              <a:ea typeface="+mn-ea"/>
              <a:cs typeface="Arial" panose="020B0604020202020204" pitchFamily="34" charset="0"/>
            </a:rPr>
            <a:t>) grindability test to provide the total pinion energy at the specified grind size for mill design purposes,</a:t>
          </a:r>
          <a:r>
            <a:rPr lang="en-US" sz="1000" baseline="0">
              <a:effectLst/>
              <a:latin typeface="+mn-lt"/>
              <a:ea typeface="+mn-ea"/>
              <a:cs typeface="Arial" panose="020B0604020202020204" pitchFamily="34" charset="0"/>
            </a:rPr>
            <a:t> herein reffered to as </a:t>
          </a:r>
          <a:r>
            <a:rPr lang="en-US" sz="1000" b="1" baseline="0">
              <a:effectLst/>
              <a:latin typeface="+mn-lt"/>
              <a:ea typeface="+mn-ea"/>
              <a:cs typeface="Arial" panose="020B0604020202020204" pitchFamily="34" charset="0"/>
            </a:rPr>
            <a:t>micro ore hardness</a:t>
          </a:r>
          <a:r>
            <a:rPr lang="en-US" sz="1000">
              <a:effectLst/>
              <a:latin typeface="+mn-lt"/>
              <a:ea typeface="+mn-ea"/>
              <a:cs typeface="Arial" panose="020B0604020202020204" pitchFamily="34" charset="0"/>
            </a:rPr>
            <a:t>. The full SAGDesign test produces the SAG grindability (W</a:t>
          </a:r>
          <a:r>
            <a:rPr lang="en-US" sz="1000" baseline="-25000">
              <a:effectLst/>
              <a:latin typeface="+mn-lt"/>
              <a:ea typeface="+mn-ea"/>
              <a:cs typeface="Arial" panose="020B0604020202020204" pitchFamily="34" charset="0"/>
            </a:rPr>
            <a:t>SDT</a:t>
          </a:r>
          <a:r>
            <a:rPr lang="en-US" sz="1000">
              <a:effectLst/>
              <a:latin typeface="+mn-lt"/>
              <a:ea typeface="+mn-ea"/>
              <a:cs typeface="Arial" panose="020B0604020202020204" pitchFamily="34" charset="0"/>
            </a:rPr>
            <a:t>) and the Ball Mill</a:t>
          </a:r>
          <a:r>
            <a:rPr lang="en-US" sz="1000" baseline="0">
              <a:effectLst/>
              <a:latin typeface="+mn-lt"/>
              <a:ea typeface="+mn-ea"/>
              <a:cs typeface="Arial" panose="020B0604020202020204" pitchFamily="34" charset="0"/>
            </a:rPr>
            <a:t> grindability (</a:t>
          </a:r>
          <a:r>
            <a:rPr lang="en-US" sz="1000">
              <a:effectLst/>
              <a:latin typeface="+mn-lt"/>
              <a:ea typeface="+mn-ea"/>
              <a:cs typeface="Arial" panose="020B0604020202020204" pitchFamily="34" charset="0"/>
            </a:rPr>
            <a:t>S</a:t>
          </a:r>
          <a:r>
            <a:rPr lang="en-US" sz="1000" baseline="-25000">
              <a:effectLst/>
              <a:latin typeface="+mn-lt"/>
              <a:ea typeface="+mn-ea"/>
              <a:cs typeface="Arial" panose="020B0604020202020204" pitchFamily="34" charset="0"/>
            </a:rPr>
            <a:t>d</a:t>
          </a:r>
          <a:r>
            <a:rPr lang="en-US" sz="1000">
              <a:effectLst/>
              <a:latin typeface="+mn-lt"/>
              <a:ea typeface="+mn-ea"/>
              <a:cs typeface="Arial" panose="020B0604020202020204" pitchFamily="34" charset="0"/>
            </a:rPr>
            <a:t>-BWI) both</a:t>
          </a:r>
          <a:r>
            <a:rPr lang="en-US" sz="1000" baseline="0"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effectLst/>
              <a:latin typeface="+mn-lt"/>
              <a:ea typeface="+mn-ea"/>
              <a:cs typeface="Arial" panose="020B0604020202020204" pitchFamily="34" charset="0"/>
            </a:rPr>
            <a:t>in kWh/t, as well as the ore specific gravity.</a:t>
          </a:r>
          <a:endParaRPr lang="en-AU" sz="1000" b="1" i="0" u="none" strike="noStrike" baseline="0">
            <a:solidFill>
              <a:srgbClr val="000080"/>
            </a:solidFill>
            <a:latin typeface="+mn-lt"/>
            <a:cs typeface="Arial" panose="020B0604020202020204" pitchFamily="34" charset="0"/>
          </a:endParaRPr>
        </a:p>
        <a:p>
          <a:pPr rtl="0"/>
          <a:endParaRPr lang="en-AU" sz="1000" b="0" i="0" baseline="0">
            <a:effectLst/>
            <a:latin typeface="+mn-lt"/>
            <a:ea typeface="+mn-ea"/>
            <a:cs typeface="Arial" panose="020B0604020202020204" pitchFamily="34" charset="0"/>
          </a:endParaRPr>
        </a:p>
        <a:p>
          <a:pPr rtl="0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The SAG mill pinion energy is determined from the SAGDesign™ testwork results as follows :</a:t>
          </a:r>
        </a:p>
        <a:p>
          <a:pPr rtl="0"/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                                                    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W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SDT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  =  revs (16,000 + m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s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)) / (447.3 m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s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)</a:t>
          </a:r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rtl="0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where :</a:t>
          </a:r>
        </a:p>
        <a:p>
          <a:pPr rtl="0"/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rtl="0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W</a:t>
          </a:r>
          <a:r>
            <a:rPr lang="en-AU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SDT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	=  AG/SAG Specific Pinion Energy from a F</a:t>
          </a:r>
          <a:r>
            <a:rPr lang="en-AU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80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of 152.4 mm to a T</a:t>
          </a:r>
          <a:r>
            <a:rPr lang="en-AU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80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of 1.7 mm, kWh/ton ground</a:t>
          </a:r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rtl="0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revs	=  Cumulative number of SAG test mill revolutions to 80% passing 1.7mm</a:t>
          </a:r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rtl="0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m</a:t>
          </a:r>
          <a:r>
            <a:rPr lang="en-AU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s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	=  SAG mill feed sample mass, grams</a:t>
          </a:r>
        </a:p>
        <a:p>
          <a:pPr rtl="0"/>
          <a:endParaRPr lang="en-AU" sz="1000" b="0" i="0" baseline="0"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The ball mill pinion energy is determined from the Bond the Third Theory of Comminution :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AU" sz="1000" b="0" i="0" baseline="0">
            <a:effectLst/>
            <a:latin typeface="+mn-lt"/>
            <a:ea typeface="+mn-ea"/>
            <a:cs typeface="Arial" panose="020B0604020202020204" pitchFamily="34" charset="0"/>
          </a:endParaRPr>
        </a:p>
        <a:p>
          <a:pPr rtl="0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                                  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S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d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-BWI  =  1.102 * 44.5 / (P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cs</a:t>
          </a:r>
          <a:r>
            <a:rPr lang="en-AU" sz="1000" b="1" i="0" baseline="30000">
              <a:effectLst/>
              <a:latin typeface="+mn-lt"/>
              <a:ea typeface="+mn-ea"/>
              <a:cs typeface="Arial" panose="020B0604020202020204" pitchFamily="34" charset="0"/>
            </a:rPr>
            <a:t>0.23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 G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pb</a:t>
          </a:r>
          <a:r>
            <a:rPr lang="en-AU" sz="1000" b="1" i="0" baseline="30000">
              <a:effectLst/>
              <a:latin typeface="+mn-lt"/>
              <a:ea typeface="+mn-ea"/>
              <a:cs typeface="Arial" panose="020B0604020202020204" pitchFamily="34" charset="0"/>
            </a:rPr>
            <a:t>0.82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) / (10 / P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80</a:t>
          </a:r>
          <a:r>
            <a:rPr lang="en-AU" sz="1000" b="1" i="0" baseline="30000">
              <a:effectLst/>
              <a:latin typeface="+mn-lt"/>
              <a:ea typeface="+mn-ea"/>
              <a:cs typeface="Arial" panose="020B0604020202020204" pitchFamily="34" charset="0"/>
            </a:rPr>
            <a:t>1/2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 – 10 / F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80</a:t>
          </a:r>
          <a:r>
            <a:rPr lang="en-AU" sz="1000" b="1" i="0" baseline="30000">
              <a:effectLst/>
              <a:latin typeface="+mn-lt"/>
              <a:ea typeface="+mn-ea"/>
              <a:cs typeface="Arial" panose="020B0604020202020204" pitchFamily="34" charset="0"/>
            </a:rPr>
            <a:t>1/2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)</a:t>
          </a:r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rtl="0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where :</a:t>
          </a:r>
        </a:p>
        <a:p>
          <a:pPr rtl="0"/>
          <a:endParaRPr lang="en-AU" sz="1000" b="0" i="0" baseline="0">
            <a:effectLst/>
            <a:latin typeface="+mn-lt"/>
            <a:ea typeface="+mn-ea"/>
            <a:cs typeface="Arial" panose="020B0604020202020204" pitchFamily="34" charset="0"/>
          </a:endParaRPr>
        </a:p>
        <a:p>
          <a:pPr rtl="0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S</a:t>
          </a:r>
          <a:r>
            <a:rPr lang="en-AU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d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-BWI	=  Bond ball mill work index on SAG ground ore, kWh/ton ground</a:t>
          </a:r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rtl="0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F</a:t>
          </a:r>
          <a:r>
            <a:rPr lang="en-AU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80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	=  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80% passing of SAG ground of the test feed size, microns</a:t>
          </a:r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rtl="0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P</a:t>
          </a:r>
          <a:r>
            <a:rPr lang="en-AU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80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	=  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80% passing from the test product size, microns</a:t>
          </a:r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rtl="0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P</a:t>
          </a:r>
          <a:r>
            <a:rPr lang="en-AU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cs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	=  Bond closing screen size, microns</a:t>
          </a:r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rtl="0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G</a:t>
          </a:r>
          <a:r>
            <a:rPr lang="en-AU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pb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	=  Ball mill grindability (average of last three cycles), gr/rev</a:t>
          </a:r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effectLst/>
            <a:latin typeface="+mn-lt"/>
          </a:endParaRPr>
        </a:p>
        <a:p>
          <a:pPr rtl="0"/>
          <a:r>
            <a:rPr lang="en-AU" sz="1100" b="1" i="0" baseline="0">
              <a:solidFill>
                <a:srgbClr val="000080"/>
              </a:solidFill>
              <a:effectLst/>
              <a:latin typeface="+mn-lt"/>
              <a:ea typeface="+mn-ea"/>
              <a:cs typeface="+mn-cs"/>
            </a:rPr>
            <a:t>Determination of the SAG and Ball Mill Pinion Energy :</a:t>
          </a:r>
          <a:endParaRPr lang="en-CA" sz="1000">
            <a:solidFill>
              <a:srgbClr val="000080"/>
            </a:solidFill>
            <a:effectLst/>
            <a:latin typeface="+mn-lt"/>
          </a:endParaRPr>
        </a:p>
        <a:p>
          <a:pPr rtl="0"/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rtl="0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Therefore, the total specific pinion energy is determined by applying </a:t>
          </a:r>
          <a:r>
            <a:rPr lang="en-AU" sz="1100" b="0" i="0" baseline="0">
              <a:effectLst/>
              <a:latin typeface="+mn-lt"/>
              <a:ea typeface="+mn-ea"/>
              <a:cs typeface="+mn-cs"/>
            </a:rPr>
            <a:t>correction factors to adjust the required mill pinion energy to the circuit's operating conditions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:</a:t>
          </a:r>
        </a:p>
        <a:p>
          <a:pPr rtl="0"/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                       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W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TOT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  =  W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SAG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 + W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BM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                                      =  (CF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Feed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 CF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PC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 W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SDT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) + (CF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Coarse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 CF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Fine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 CF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Dia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 ) (10 S</a:t>
          </a:r>
          <a:r>
            <a:rPr lang="en-AU" sz="1000" b="1" i="0" baseline="-25000">
              <a:effectLst/>
              <a:latin typeface="+mn-lt"/>
              <a:ea typeface="+mn-ea"/>
              <a:cs typeface="Arial" panose="020B0604020202020204" pitchFamily="34" charset="0"/>
            </a:rPr>
            <a:t>d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-BWI) </a:t>
          </a:r>
          <a:r>
            <a:rPr lang="en-AU" sz="1100" b="1" i="0" baseline="0">
              <a:effectLst/>
              <a:latin typeface="+mn-lt"/>
              <a:ea typeface="+mn-ea"/>
              <a:cs typeface="+mn-cs"/>
            </a:rPr>
            <a:t>(1/P</a:t>
          </a:r>
          <a:r>
            <a:rPr lang="en-AU" sz="1100" b="1" i="0" baseline="-25000">
              <a:effectLst/>
              <a:latin typeface="+mn-lt"/>
              <a:ea typeface="+mn-ea"/>
              <a:cs typeface="+mn-cs"/>
            </a:rPr>
            <a:t>80</a:t>
          </a:r>
          <a:r>
            <a:rPr lang="en-AU" sz="1100" b="1" i="0" baseline="30000">
              <a:effectLst/>
              <a:latin typeface="+mn-lt"/>
              <a:ea typeface="+mn-ea"/>
              <a:cs typeface="+mn-cs"/>
            </a:rPr>
            <a:t>1/2</a:t>
          </a:r>
          <a:r>
            <a:rPr lang="en-AU" sz="1100" b="1" i="0" baseline="0">
              <a:effectLst/>
              <a:latin typeface="+mn-lt"/>
              <a:ea typeface="+mn-ea"/>
              <a:cs typeface="+mn-cs"/>
            </a:rPr>
            <a:t> – 1/F</a:t>
          </a:r>
          <a:r>
            <a:rPr lang="en-AU" sz="1100" b="1" i="0" baseline="-25000">
              <a:effectLst/>
              <a:latin typeface="+mn-lt"/>
              <a:ea typeface="+mn-ea"/>
              <a:cs typeface="+mn-cs"/>
            </a:rPr>
            <a:t>80</a:t>
          </a:r>
          <a:r>
            <a:rPr lang="en-AU" sz="1100" b="1" i="0" baseline="30000">
              <a:effectLst/>
              <a:latin typeface="+mn-lt"/>
              <a:ea typeface="+mn-ea"/>
              <a:cs typeface="+mn-cs"/>
            </a:rPr>
            <a:t>1/2</a:t>
          </a:r>
          <a:r>
            <a:rPr lang="en-AU" sz="1100" b="1" i="0" baseline="0">
              <a:effectLst/>
              <a:latin typeface="+mn-lt"/>
              <a:ea typeface="+mn-ea"/>
              <a:cs typeface="+mn-cs"/>
            </a:rPr>
            <a:t>)</a:t>
          </a:r>
          <a:endParaRPr lang="en-CA" sz="1000">
            <a:effectLst/>
            <a:latin typeface="+mn-lt"/>
          </a:endParaRPr>
        </a:p>
        <a:p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where</a:t>
          </a:r>
        </a:p>
        <a:p>
          <a:endParaRPr lang="en-CA" sz="1000" b="0">
            <a:effectLst/>
            <a:latin typeface="+mn-lt"/>
            <a:cs typeface="Arial" panose="020B0604020202020204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CF</a:t>
          </a:r>
          <a:r>
            <a:rPr lang="en-AU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Feed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	=  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SAG feed size F</a:t>
          </a:r>
          <a:r>
            <a:rPr lang="en-CA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80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correction factor where a factor of 5% is applied for each 1 inch (25.4 mm).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	    different for the design feed size of 6 inches (152.4 mm). Larger feed size requires more energy.</a:t>
          </a:r>
        </a:p>
        <a:p>
          <a:pPr rtl="0" eaLnBrk="1" fontAlgn="auto" latinLnBrk="0" hangingPunct="1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CF</a:t>
          </a:r>
          <a:r>
            <a:rPr lang="en-AU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PC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	=  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Pebble Crusher energy reduction factor. Varies between 10% and 30% depending of SAG</a:t>
          </a:r>
        </a:p>
        <a:p>
          <a:pPr rtl="0" eaLnBrk="1" fontAlgn="auto" latinLnBrk="0" hangingPunct="1"/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                         grindability value. Higher reduction is obtained on harder ore (&gt; 20 kWh/t).</a:t>
          </a:r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CF</a:t>
          </a:r>
          <a:r>
            <a:rPr lang="en-AU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Coarse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	=  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If the transfer size T</a:t>
          </a:r>
          <a:r>
            <a:rPr lang="en-CA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80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is greater or equal to 3.4 mm, the </a:t>
          </a:r>
          <a:r>
            <a:rPr lang="en-CA" sz="1000" b="0" i="1" baseline="0">
              <a:effectLst/>
              <a:latin typeface="+mn-lt"/>
              <a:ea typeface="+mn-ea"/>
              <a:cs typeface="Arial" panose="020B0604020202020204" pitchFamily="34" charset="0"/>
            </a:rPr>
            <a:t>oversize feed factor 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as determined by</a:t>
          </a:r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	    Bond (corresponding to the EF</a:t>
          </a:r>
          <a:r>
            <a:rPr lang="en-CA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4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factor by Rowland) is applied.</a:t>
          </a:r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CF</a:t>
          </a:r>
          <a:r>
            <a:rPr lang="en-AU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Fine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	=  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If the product size P</a:t>
          </a:r>
          <a:r>
            <a:rPr lang="en-CA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80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is less than 75 µm, </a:t>
          </a:r>
          <a:r>
            <a:rPr lang="en-CA" sz="1000" b="0" i="1" baseline="0">
              <a:effectLst/>
              <a:latin typeface="+mn-lt"/>
              <a:ea typeface="+mn-ea"/>
              <a:cs typeface="Arial" panose="020B0604020202020204" pitchFamily="34" charset="0"/>
            </a:rPr>
            <a:t>the fineness of ball mill grind 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factor as determined by 	    Bond (corresponding to the EF</a:t>
          </a:r>
          <a:r>
            <a:rPr lang="en-CA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5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factor by Rowland) is applied.</a:t>
          </a:r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CF</a:t>
          </a:r>
          <a:r>
            <a:rPr lang="en-AU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Dia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	=  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If the ball mill diameter is greater than 8 ft, </a:t>
          </a:r>
          <a:r>
            <a:rPr lang="en-CA" sz="1000" b="0" i="1" baseline="0">
              <a:effectLst/>
              <a:latin typeface="+mn-lt"/>
              <a:ea typeface="+mn-ea"/>
              <a:cs typeface="Arial" panose="020B0604020202020204" pitchFamily="34" charset="0"/>
            </a:rPr>
            <a:t>the mill diameter 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factor as determined by Bond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                         (corresponding to the EF</a:t>
          </a:r>
          <a:r>
            <a:rPr lang="en-CA" sz="1000" b="0" i="0" baseline="-25000">
              <a:effectLst/>
              <a:latin typeface="+mn-lt"/>
              <a:ea typeface="+mn-ea"/>
              <a:cs typeface="Arial" panose="020B0604020202020204" pitchFamily="34" charset="0"/>
            </a:rPr>
            <a:t>3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factor by Rowland) is applied. The factor equals unity for diameter less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                           than 8 ft.</a:t>
          </a:r>
          <a:endParaRPr lang="en-CA" sz="1000">
            <a:effectLst/>
            <a:latin typeface="+mn-lt"/>
            <a:cs typeface="Arial" panose="020B0604020202020204" pitchFamily="34" charset="0"/>
          </a:endParaRPr>
        </a:p>
        <a:p>
          <a:endParaRPr lang="en-CA" sz="1000" b="0">
            <a:effectLst/>
            <a:latin typeface="+mn-lt"/>
            <a:cs typeface="Arial" panose="020B0604020202020204" pitchFamily="34" charset="0"/>
          </a:endParaRPr>
        </a:p>
        <a:p>
          <a:endParaRPr lang="en-CA" sz="1000" b="0">
            <a:effectLst/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104775</xdr:colOff>
      <xdr:row>63</xdr:row>
      <xdr:rowOff>142876</xdr:rowOff>
    </xdr:from>
    <xdr:to>
      <xdr:col>13</xdr:col>
      <xdr:colOff>19050</xdr:colOff>
      <xdr:row>126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4775" y="10506076"/>
          <a:ext cx="6638925" cy="10134600"/>
        </a:xfrm>
        <a:prstGeom prst="rect">
          <a:avLst/>
        </a:prstGeom>
        <a:noFill/>
        <a:ln w="38100" cmpd="dbl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endParaRPr lang="en-AU" sz="1000" b="1" i="0" u="none" strike="noStrike" baseline="0">
            <a:solidFill>
              <a:srgbClr val="000080"/>
            </a:solidFill>
            <a:latin typeface="+mn-lt"/>
            <a:cs typeface="Arial" panose="020B0604020202020204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AU" sz="1000" b="1" i="0" baseline="0">
              <a:solidFill>
                <a:srgbClr val="00008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SAGDesign™ Test Method Precision :</a:t>
          </a:r>
          <a:endParaRPr lang="en-CA" sz="1000" b="1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algn="l" rtl="0">
            <a:defRPr sz="1000"/>
          </a:pPr>
          <a:endParaRPr lang="en-AU" sz="1000" b="1" i="0" u="none" strike="noStrike" baseline="0">
            <a:solidFill>
              <a:srgbClr val="000080"/>
            </a:solidFill>
            <a:latin typeface="+mn-lt"/>
            <a:cs typeface="Arial" panose="020B0604020202020204" pitchFamily="34" charset="0"/>
          </a:endParaRPr>
        </a:p>
        <a:p>
          <a:pPr rtl="0"/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The </a:t>
          </a:r>
          <a:r>
            <a:rPr lang="en-CA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precision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of a measurement system, related to reproducibility and repeatability, is the degree to which repeated measurements under unchanged conditions show the same results (</a:t>
          </a:r>
          <a:r>
            <a:rPr lang="en-CA" sz="1000" b="0" i="1" baseline="0">
              <a:effectLst/>
              <a:latin typeface="+mn-lt"/>
              <a:ea typeface="+mn-ea"/>
              <a:cs typeface="Arial" panose="020B0604020202020204" pitchFamily="34" charset="0"/>
            </a:rPr>
            <a:t>Wikipedia.org</a:t>
          </a:r>
          <a:r>
            <a:rPr lang="en-CA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). Table 1 below shows that the reproducibility relative error (R.E.) is within 4.6% with a relative standard deviation (RSD) of 3.1% for the SAG portion of the test and within 8.7% with a RSD of 5.7% for the Bond Work Index on SAG ground ore. Table 2 shows that the repeatability R.E. from 12 tests is within 5.1%. To be noted that sample R12 was performed by two different labs.</a:t>
          </a:r>
        </a:p>
        <a:p>
          <a:pPr rtl="0"/>
          <a:endParaRPr lang="en-CA" sz="1000" b="0" i="0" baseline="0">
            <a:solidFill>
              <a:srgbClr val="000080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rtl="0"/>
          <a:endParaRPr lang="en-CA" sz="1000" b="0" i="0" baseline="0">
            <a:solidFill>
              <a:srgbClr val="000080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rtl="0"/>
          <a:endParaRPr lang="en-CA" sz="1000" b="0" i="0" baseline="0">
            <a:solidFill>
              <a:srgbClr val="000080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rtl="0"/>
          <a:endParaRPr lang="en-CA" sz="1000" b="0" i="0" baseline="0">
            <a:solidFill>
              <a:srgbClr val="000080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rtl="0"/>
          <a:endParaRPr lang="en-CA" sz="1000" b="1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 b="1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 b="1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CA" sz="1000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en-AU" sz="1100" b="1" i="0" baseline="0">
              <a:solidFill>
                <a:srgbClr val="000080"/>
              </a:solidFill>
              <a:effectLst/>
              <a:latin typeface="+mn-lt"/>
              <a:ea typeface="+mn-ea"/>
              <a:cs typeface="+mn-cs"/>
            </a:rPr>
            <a:t>SAGDesign™ Methodology Accuracy :</a:t>
          </a:r>
          <a:endParaRPr lang="en-CA" sz="1000">
            <a:solidFill>
              <a:srgbClr val="000080"/>
            </a:solidFill>
            <a:effectLst/>
            <a:latin typeface="+mn-lt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8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The accuracy of a measurement system is the degree of closeness of measurements of a quantity to that quantity's actual or true value (</a:t>
          </a:r>
          <a:r>
            <a:rPr lang="en-AU" sz="1000" b="0" i="1" u="none" strike="noStrike" baseline="0">
              <a:solidFill>
                <a:srgbClr val="000000"/>
              </a:solidFill>
              <a:latin typeface="+mn-lt"/>
              <a:cs typeface="Arial"/>
            </a:rPr>
            <a:t>Wikipedia.org</a:t>
          </a: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). The actual value is measured during plant benchmarking where the feed material is subject to the grinding testwork. Figure 1 confirms that the ore hardness measured by the SAGDesign testwork corresponds to the plant performance within 8.9% including pilot plant and single stage AG-SAG mills.</a:t>
          </a: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80"/>
            </a:solidFill>
            <a:latin typeface="+mn-lt"/>
            <a:cs typeface="Arial" panose="020B0604020202020204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AU" sz="1000" b="1" i="0" baseline="0">
              <a:solidFill>
                <a:srgbClr val="00008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Data Input :</a:t>
          </a:r>
          <a:endParaRPr lang="en-CA">
            <a:solidFill>
              <a:srgbClr val="000080"/>
            </a:solidFill>
            <a:effectLst/>
            <a:latin typeface="+mn-lt"/>
            <a:cs typeface="Arial" panose="020B0604020202020204" pitchFamily="34" charset="0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80"/>
            </a:solidFill>
            <a:latin typeface="+mn-lt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All data required by the calculation routine must be defined in each corresponding unprotected </a:t>
          </a:r>
          <a:r>
            <a:rPr lang="en-AU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white background</a:t>
          </a: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 cell of the here attached </a:t>
          </a:r>
          <a:r>
            <a:rPr lang="en-AU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Testwork Results, Design Hardness Selection and Base Case </a:t>
          </a: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worksheets. </a:t>
          </a:r>
          <a:r>
            <a:rPr lang="en-AU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Gray background</a:t>
          </a:r>
          <a:r>
            <a:rPr lang="en-AU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 cells contain the results of the corresponding formulas there defined and are protected to avoid any accidental editing.</a:t>
          </a: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 panose="020B0604020202020204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The testwork results dataset and SAG and ball mill sizing are presented in the </a:t>
          </a:r>
          <a:r>
            <a:rPr lang="en-AU" sz="1000" b="1" i="0" baseline="0">
              <a:effectLst/>
              <a:latin typeface="+mn-lt"/>
              <a:ea typeface="+mn-ea"/>
              <a:cs typeface="Arial" panose="020B0604020202020204" pitchFamily="34" charset="0"/>
            </a:rPr>
            <a:t>Reports</a:t>
          </a:r>
          <a:r>
            <a:rPr lang="en-AU" sz="1000" b="0" i="0" baseline="0">
              <a:effectLst/>
              <a:latin typeface="+mn-lt"/>
              <a:ea typeface="+mn-ea"/>
              <a:cs typeface="Arial" panose="020B0604020202020204" pitchFamily="34" charset="0"/>
            </a:rPr>
            <a:t> worksheet.</a:t>
          </a:r>
          <a:endParaRPr lang="en-CA">
            <a:effectLst/>
            <a:latin typeface="+mn-lt"/>
            <a:cs typeface="Arial" panose="020B0604020202020204" pitchFamily="34" charset="0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85726</xdr:colOff>
      <xdr:row>98</xdr:row>
      <xdr:rowOff>145086</xdr:rowOff>
    </xdr:from>
    <xdr:to>
      <xdr:col>7</xdr:col>
      <xdr:colOff>87226</xdr:colOff>
      <xdr:row>113</xdr:row>
      <xdr:rowOff>67604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6" y="16223286"/>
          <a:ext cx="3240000" cy="2351393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98</xdr:row>
      <xdr:rowOff>133352</xdr:rowOff>
    </xdr:from>
    <xdr:to>
      <xdr:col>12</xdr:col>
      <xdr:colOff>142275</xdr:colOff>
      <xdr:row>113</xdr:row>
      <xdr:rowOff>81998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7575" y="16211552"/>
          <a:ext cx="3276000" cy="23775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27214</xdr:colOff>
      <xdr:row>1</xdr:row>
      <xdr:rowOff>70361</xdr:rowOff>
    </xdr:from>
    <xdr:to>
      <xdr:col>13</xdr:col>
      <xdr:colOff>20410</xdr:colOff>
      <xdr:row>4</xdr:row>
      <xdr:rowOff>138792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9989" y="165611"/>
          <a:ext cx="755196" cy="678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zoomScale="110" zoomScaleNormal="110" workbookViewId="0">
      <selection activeCell="B1" sqref="B1"/>
    </sheetView>
  </sheetViews>
  <sheetFormatPr defaultRowHeight="12.75" x14ac:dyDescent="0.2"/>
  <cols>
    <col min="1" max="1" width="1.7109375" style="2" customWidth="1"/>
    <col min="2" max="2" width="3.7109375" style="2" customWidth="1"/>
    <col min="3" max="6" width="9.7109375" style="2" customWidth="1"/>
    <col min="7" max="7" width="6" style="2" customWidth="1"/>
    <col min="8" max="12" width="9.7109375" style="2" customWidth="1"/>
    <col min="13" max="13" width="3.7109375" style="2" customWidth="1"/>
    <col min="14" max="14" width="1.7109375" style="2" customWidth="1"/>
    <col min="15" max="16384" width="9.140625" style="2"/>
  </cols>
  <sheetData>
    <row r="1" spans="2:13" x14ac:dyDescent="0.2">
      <c r="B1" s="91" t="s">
        <v>179</v>
      </c>
      <c r="C1" s="91"/>
    </row>
    <row r="2" spans="2:13" x14ac:dyDescent="0.2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3" x14ac:dyDescent="0.2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2:13" x14ac:dyDescent="0.2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3" x14ac:dyDescent="0.2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2:13" x14ac:dyDescent="0.2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2:13" x14ac:dyDescent="0.2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2:13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2:13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2:13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2:13" x14ac:dyDescent="0.2"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2:13" x14ac:dyDescent="0.2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2:13" x14ac:dyDescent="0.2"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2:13" x14ac:dyDescent="0.2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2:13" x14ac:dyDescent="0.2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2:13" x14ac:dyDescent="0.2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2:13" x14ac:dyDescent="0.2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2:13" x14ac:dyDescent="0.2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2:13" x14ac:dyDescent="0.2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2:13" x14ac:dyDescent="0.2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2:13" x14ac:dyDescent="0.2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2:13" x14ac:dyDescent="0.2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2:13" x14ac:dyDescent="0.2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2:13" x14ac:dyDescent="0.2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2:13" x14ac:dyDescent="0.2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2:13" x14ac:dyDescent="0.2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2:13" x14ac:dyDescent="0.2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2:13" x14ac:dyDescent="0.2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2:13" x14ac:dyDescent="0.2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2:13" x14ac:dyDescent="0.2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2:13" x14ac:dyDescent="0.2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2:13" x14ac:dyDescent="0.2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2:13" x14ac:dyDescent="0.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2:13" x14ac:dyDescent="0.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2:13" x14ac:dyDescent="0.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2:13" x14ac:dyDescent="0.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2:13" x14ac:dyDescent="0.2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2:13" x14ac:dyDescent="0.2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x14ac:dyDescent="0.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2:13" x14ac:dyDescent="0.2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2:13" x14ac:dyDescent="0.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2:13" x14ac:dyDescent="0.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2:13" x14ac:dyDescent="0.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2:13" x14ac:dyDescent="0.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2:13" x14ac:dyDescent="0.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2:13" x14ac:dyDescent="0.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2:13" x14ac:dyDescent="0.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2:13" x14ac:dyDescent="0.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2:13" x14ac:dyDescent="0.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2:13" x14ac:dyDescent="0.2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2:13" x14ac:dyDescent="0.2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2:13" x14ac:dyDescent="0.2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2:13" x14ac:dyDescent="0.2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2:13" x14ac:dyDescent="0.2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2:13" x14ac:dyDescent="0.2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2:13" x14ac:dyDescent="0.2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2:13" x14ac:dyDescent="0.2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2:13" x14ac:dyDescent="0.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 x14ac:dyDescent="0.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2:13" x14ac:dyDescent="0.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2:13" x14ac:dyDescent="0.2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2:13" x14ac:dyDescent="0.2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5" spans="2:13" x14ac:dyDescent="0.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2:13" x14ac:dyDescent="0.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2:13" x14ac:dyDescent="0.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2:13" x14ac:dyDescent="0.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2:13" x14ac:dyDescent="0.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2:13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2:13" x14ac:dyDescent="0.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2:13" x14ac:dyDescent="0.2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2:13" x14ac:dyDescent="0.2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2:13" x14ac:dyDescent="0.2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2:13" ht="13.5" thickBot="1" x14ac:dyDescent="0.25">
      <c r="B75" s="92"/>
      <c r="C75" s="93" t="s">
        <v>132</v>
      </c>
      <c r="D75" s="92"/>
      <c r="E75" s="92"/>
      <c r="F75" s="92"/>
      <c r="G75" s="92"/>
      <c r="H75" s="93" t="s">
        <v>133</v>
      </c>
      <c r="I75" s="92"/>
      <c r="J75" s="92"/>
      <c r="K75" s="92"/>
      <c r="L75" s="92"/>
      <c r="M75" s="92"/>
    </row>
    <row r="76" spans="2:13" ht="14.25" x14ac:dyDescent="0.25">
      <c r="B76" s="92"/>
      <c r="C76" s="94" t="s">
        <v>97</v>
      </c>
      <c r="D76" s="95" t="s">
        <v>2</v>
      </c>
      <c r="E76" s="95" t="s">
        <v>106</v>
      </c>
      <c r="F76" s="95" t="s">
        <v>107</v>
      </c>
      <c r="G76" s="92"/>
      <c r="H76" s="96" t="s">
        <v>108</v>
      </c>
      <c r="I76" s="96" t="s">
        <v>109</v>
      </c>
      <c r="J76" s="95" t="s">
        <v>180</v>
      </c>
      <c r="K76" s="95" t="s">
        <v>110</v>
      </c>
      <c r="L76" s="95" t="s">
        <v>111</v>
      </c>
      <c r="M76" s="92"/>
    </row>
    <row r="77" spans="2:13" x14ac:dyDescent="0.2">
      <c r="B77" s="92"/>
      <c r="C77" s="97"/>
      <c r="D77" s="98"/>
      <c r="E77" s="98" t="s">
        <v>3</v>
      </c>
      <c r="F77" s="98" t="s">
        <v>3</v>
      </c>
      <c r="G77" s="92"/>
      <c r="H77" s="99" t="s">
        <v>27</v>
      </c>
      <c r="I77" s="99"/>
      <c r="J77" s="100" t="s">
        <v>3</v>
      </c>
      <c r="K77" s="100" t="s">
        <v>3</v>
      </c>
      <c r="L77" s="100" t="s">
        <v>4</v>
      </c>
      <c r="M77" s="92"/>
    </row>
    <row r="78" spans="2:13" x14ac:dyDescent="0.2">
      <c r="B78" s="92"/>
      <c r="C78" s="101" t="s">
        <v>55</v>
      </c>
      <c r="D78" s="102">
        <v>2.8538987688098487</v>
      </c>
      <c r="E78" s="102">
        <v>7.3003498631291004</v>
      </c>
      <c r="F78" s="102">
        <v>8.8798873871536674</v>
      </c>
      <c r="G78" s="92"/>
      <c r="H78" s="103" t="s">
        <v>112</v>
      </c>
      <c r="I78" s="103" t="s">
        <v>113</v>
      </c>
      <c r="J78" s="104">
        <v>15.585427505394417</v>
      </c>
      <c r="K78" s="104">
        <v>15.62782658174979</v>
      </c>
      <c r="L78" s="105">
        <f>(K78-J78)/AVERAGE(J78:K78)</f>
        <v>2.7167354122706548E-3</v>
      </c>
      <c r="M78" s="92"/>
    </row>
    <row r="79" spans="2:13" x14ac:dyDescent="0.2">
      <c r="B79" s="92"/>
      <c r="C79" s="101" t="s">
        <v>56</v>
      </c>
      <c r="D79" s="102">
        <v>2.8149999999999959</v>
      </c>
      <c r="E79" s="102">
        <v>7.7149178250547958</v>
      </c>
      <c r="F79" s="102">
        <v>10.002772317859494</v>
      </c>
      <c r="G79" s="92"/>
      <c r="H79" s="106" t="s">
        <v>114</v>
      </c>
      <c r="I79" s="106" t="s">
        <v>115</v>
      </c>
      <c r="J79" s="102">
        <v>16.434057357952756</v>
      </c>
      <c r="K79" s="102">
        <v>16.575908729463087</v>
      </c>
      <c r="L79" s="107">
        <f t="shared" ref="L79:L89" si="0">(K79-J79)/AVERAGE(J79:K79)</f>
        <v>8.5944572699459924E-3</v>
      </c>
      <c r="M79" s="92"/>
    </row>
    <row r="80" spans="2:13" x14ac:dyDescent="0.2">
      <c r="B80" s="92"/>
      <c r="C80" s="101" t="s">
        <v>57</v>
      </c>
      <c r="D80" s="102">
        <v>2.8565891472868206</v>
      </c>
      <c r="E80" s="102">
        <v>7.6817557336291884</v>
      </c>
      <c r="F80" s="102">
        <v>10.516763763757387</v>
      </c>
      <c r="G80" s="92"/>
      <c r="H80" s="106" t="s">
        <v>114</v>
      </c>
      <c r="I80" s="106" t="s">
        <v>116</v>
      </c>
      <c r="J80" s="102">
        <v>18.728180652448341</v>
      </c>
      <c r="K80" s="102">
        <v>18.786580626989245</v>
      </c>
      <c r="L80" s="107">
        <f t="shared" si="0"/>
        <v>3.1134397527361811E-3</v>
      </c>
      <c r="M80" s="92"/>
    </row>
    <row r="81" spans="2:13" x14ac:dyDescent="0.2">
      <c r="B81" s="92"/>
      <c r="C81" s="101" t="s">
        <v>98</v>
      </c>
      <c r="D81" s="102">
        <v>2.8571428571428572</v>
      </c>
      <c r="E81" s="102">
        <v>7.1657423377047831</v>
      </c>
      <c r="F81" s="102">
        <v>9.7554266470551667</v>
      </c>
      <c r="G81" s="92"/>
      <c r="H81" s="106" t="s">
        <v>114</v>
      </c>
      <c r="I81" s="106" t="s">
        <v>117</v>
      </c>
      <c r="J81" s="102">
        <v>15.64500273169897</v>
      </c>
      <c r="K81" s="102">
        <v>16.131882558204779</v>
      </c>
      <c r="L81" s="107">
        <f t="shared" si="0"/>
        <v>3.0643646919070611E-2</v>
      </c>
      <c r="M81" s="92"/>
    </row>
    <row r="82" spans="2:13" x14ac:dyDescent="0.2">
      <c r="B82" s="92"/>
      <c r="C82" s="101" t="s">
        <v>99</v>
      </c>
      <c r="D82" s="102">
        <v>2.8593406593406594</v>
      </c>
      <c r="E82" s="102">
        <v>7.2836583543162963</v>
      </c>
      <c r="F82" s="102">
        <v>9.4191407732248411</v>
      </c>
      <c r="G82" s="92"/>
      <c r="H82" s="106" t="s">
        <v>118</v>
      </c>
      <c r="I82" s="106" t="s">
        <v>119</v>
      </c>
      <c r="J82" s="102">
        <v>10.945457533603333</v>
      </c>
      <c r="K82" s="102">
        <v>10.77119198275704</v>
      </c>
      <c r="L82" s="107">
        <f t="shared" si="0"/>
        <v>-1.6049027334074633E-2</v>
      </c>
      <c r="M82" s="92"/>
    </row>
    <row r="83" spans="2:13" x14ac:dyDescent="0.2">
      <c r="B83" s="92"/>
      <c r="C83" s="101" t="s">
        <v>100</v>
      </c>
      <c r="D83" s="102">
        <v>2.8174311926605515</v>
      </c>
      <c r="E83" s="102">
        <v>7.172985689487497</v>
      </c>
      <c r="F83" s="102">
        <v>10.318123149106146</v>
      </c>
      <c r="G83" s="92"/>
      <c r="H83" s="106" t="s">
        <v>120</v>
      </c>
      <c r="I83" s="106" t="s">
        <v>121</v>
      </c>
      <c r="J83" s="102">
        <v>3.4320982128791964</v>
      </c>
      <c r="K83" s="102">
        <v>3.529354464590305</v>
      </c>
      <c r="L83" s="107">
        <f t="shared" si="0"/>
        <v>2.794136690058243E-2</v>
      </c>
      <c r="M83" s="92"/>
    </row>
    <row r="84" spans="2:13" x14ac:dyDescent="0.2">
      <c r="B84" s="92"/>
      <c r="C84" s="101" t="s">
        <v>101</v>
      </c>
      <c r="D84" s="102">
        <v>2.8490140845070422</v>
      </c>
      <c r="E84" s="102">
        <v>7.178757992224015</v>
      </c>
      <c r="F84" s="102">
        <v>9.1866536953015387</v>
      </c>
      <c r="G84" s="92"/>
      <c r="H84" s="106" t="s">
        <v>122</v>
      </c>
      <c r="I84" s="106" t="s">
        <v>123</v>
      </c>
      <c r="J84" s="106">
        <v>11.92</v>
      </c>
      <c r="K84" s="106">
        <v>11.82</v>
      </c>
      <c r="L84" s="107">
        <f t="shared" si="0"/>
        <v>-8.4245998315079732E-3</v>
      </c>
      <c r="M84" s="92"/>
    </row>
    <row r="85" spans="2:13" x14ac:dyDescent="0.2">
      <c r="B85" s="92"/>
      <c r="C85" s="98" t="s">
        <v>102</v>
      </c>
      <c r="D85" s="108">
        <v>2.84</v>
      </c>
      <c r="E85" s="108">
        <v>7.5225973642442803</v>
      </c>
      <c r="F85" s="108">
        <v>9.7463436895330755</v>
      </c>
      <c r="G85" s="92"/>
      <c r="H85" s="106" t="s">
        <v>122</v>
      </c>
      <c r="I85" s="106" t="s">
        <v>124</v>
      </c>
      <c r="J85" s="106">
        <v>11.92</v>
      </c>
      <c r="K85" s="106">
        <v>12.34</v>
      </c>
      <c r="L85" s="107">
        <f t="shared" si="0"/>
        <v>3.4624896949711458E-2</v>
      </c>
      <c r="M85" s="92"/>
    </row>
    <row r="86" spans="2:13" x14ac:dyDescent="0.2">
      <c r="B86" s="92"/>
      <c r="C86" s="109" t="s">
        <v>26</v>
      </c>
      <c r="D86" s="110">
        <v>2.8435520887184724</v>
      </c>
      <c r="E86" s="110">
        <v>7.377595644973745</v>
      </c>
      <c r="F86" s="110">
        <v>9.7281389278739159</v>
      </c>
      <c r="G86" s="92"/>
      <c r="H86" s="106" t="s">
        <v>125</v>
      </c>
      <c r="I86" s="106" t="s">
        <v>126</v>
      </c>
      <c r="J86" s="102">
        <v>9.8765380907847824</v>
      </c>
      <c r="K86" s="102">
        <v>10.389691564617456</v>
      </c>
      <c r="L86" s="107">
        <f t="shared" si="0"/>
        <v>5.0641237423842723E-2</v>
      </c>
      <c r="M86" s="92"/>
    </row>
    <row r="87" spans="2:13" x14ac:dyDescent="0.2">
      <c r="B87" s="92"/>
      <c r="C87" s="99" t="s">
        <v>103</v>
      </c>
      <c r="D87" s="109"/>
      <c r="E87" s="111">
        <v>3.1095372897114573E-2</v>
      </c>
      <c r="F87" s="111">
        <v>5.7031832518521272E-2</v>
      </c>
      <c r="G87" s="92"/>
      <c r="H87" s="106" t="s">
        <v>125</v>
      </c>
      <c r="I87" s="106" t="s">
        <v>127</v>
      </c>
      <c r="J87" s="102">
        <v>9.2924845915331904</v>
      </c>
      <c r="K87" s="102">
        <v>9.746324128595008</v>
      </c>
      <c r="L87" s="107">
        <f t="shared" si="0"/>
        <v>4.7675203184536392E-2</v>
      </c>
      <c r="M87" s="92"/>
    </row>
    <row r="88" spans="2:13" x14ac:dyDescent="0.2">
      <c r="B88" s="92"/>
      <c r="C88" s="106" t="s">
        <v>104</v>
      </c>
      <c r="D88" s="106"/>
      <c r="E88" s="112">
        <v>-2.8715765604922339E-2</v>
      </c>
      <c r="F88" s="112">
        <v>-8.7195664762739336E-2</v>
      </c>
      <c r="G88" s="92"/>
      <c r="H88" s="106" t="s">
        <v>125</v>
      </c>
      <c r="I88" s="106" t="s">
        <v>128</v>
      </c>
      <c r="J88" s="102">
        <v>10.183935691230023</v>
      </c>
      <c r="K88" s="102">
        <v>10.365389626877388</v>
      </c>
      <c r="L88" s="107">
        <f t="shared" si="0"/>
        <v>1.7660330238431117E-2</v>
      </c>
      <c r="M88" s="92"/>
    </row>
    <row r="89" spans="2:13" ht="13.5" thickBot="1" x14ac:dyDescent="0.25">
      <c r="B89" s="92"/>
      <c r="C89" s="113" t="s">
        <v>105</v>
      </c>
      <c r="D89" s="113"/>
      <c r="E89" s="114">
        <v>4.5722508566983316E-2</v>
      </c>
      <c r="F89" s="114">
        <v>8.1066362408110187E-2</v>
      </c>
      <c r="G89" s="92"/>
      <c r="H89" s="106" t="s">
        <v>122</v>
      </c>
      <c r="I89" s="115" t="s">
        <v>129</v>
      </c>
      <c r="J89" s="115">
        <v>11.92</v>
      </c>
      <c r="K89" s="115">
        <v>11.55</v>
      </c>
      <c r="L89" s="107">
        <f t="shared" si="0"/>
        <v>-3.1529612270984171E-2</v>
      </c>
      <c r="M89" s="92"/>
    </row>
    <row r="90" spans="2:13" x14ac:dyDescent="0.2">
      <c r="B90" s="92"/>
      <c r="C90" s="92"/>
      <c r="D90" s="92"/>
      <c r="E90" s="92"/>
      <c r="F90" s="92"/>
      <c r="G90" s="92"/>
      <c r="H90" s="116" t="s">
        <v>26</v>
      </c>
      <c r="I90" s="116"/>
      <c r="J90" s="116"/>
      <c r="K90" s="116"/>
      <c r="L90" s="117">
        <f>AVERAGE(L78:L89)</f>
        <v>1.3967339551213398E-2</v>
      </c>
      <c r="M90" s="92"/>
    </row>
    <row r="91" spans="2:13" x14ac:dyDescent="0.2">
      <c r="B91" s="92"/>
      <c r="C91" s="92"/>
      <c r="D91" s="92"/>
      <c r="E91" s="92"/>
      <c r="F91" s="92"/>
      <c r="G91" s="92"/>
      <c r="H91" s="106" t="s">
        <v>130</v>
      </c>
      <c r="I91" s="106"/>
      <c r="J91" s="106"/>
      <c r="K91" s="106"/>
      <c r="L91" s="112">
        <f>MIN(L78:L89)</f>
        <v>-3.1529612270984171E-2</v>
      </c>
      <c r="M91" s="92"/>
    </row>
    <row r="92" spans="2:13" ht="13.5" thickBot="1" x14ac:dyDescent="0.25">
      <c r="B92" s="92"/>
      <c r="C92" s="92"/>
      <c r="D92" s="92"/>
      <c r="E92" s="92"/>
      <c r="F92" s="92"/>
      <c r="G92" s="92"/>
      <c r="H92" s="113" t="s">
        <v>131</v>
      </c>
      <c r="I92" s="113"/>
      <c r="J92" s="113"/>
      <c r="K92" s="113"/>
      <c r="L92" s="114">
        <f>MAX(L78:L89)</f>
        <v>5.0641237423842723E-2</v>
      </c>
      <c r="M92" s="92"/>
    </row>
    <row r="93" spans="2:13" x14ac:dyDescent="0.2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2:13" x14ac:dyDescent="0.2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2:13" x14ac:dyDescent="0.2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2:13" x14ac:dyDescent="0.2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2:13" x14ac:dyDescent="0.2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2:13" x14ac:dyDescent="0.2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2:13" x14ac:dyDescent="0.2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2:13" x14ac:dyDescent="0.2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2:13" x14ac:dyDescent="0.2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2:13" x14ac:dyDescent="0.2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2:13" x14ac:dyDescent="0.2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2:13" x14ac:dyDescent="0.2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2:13" x14ac:dyDescent="0.2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2:13" x14ac:dyDescent="0.2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2:13" x14ac:dyDescent="0.2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2:13" x14ac:dyDescent="0.2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2:13" x14ac:dyDescent="0.2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2:13" x14ac:dyDescent="0.2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2:13" x14ac:dyDescent="0.2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2:13" x14ac:dyDescent="0.2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2:13" x14ac:dyDescent="0.2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2:13" x14ac:dyDescent="0.2">
      <c r="B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2:13" x14ac:dyDescent="0.2">
      <c r="B115" s="92"/>
      <c r="C115" s="93" t="s">
        <v>134</v>
      </c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13" x14ac:dyDescent="0.2">
      <c r="B116" s="92"/>
      <c r="C116" s="93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2:13" x14ac:dyDescent="0.2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2:13" x14ac:dyDescent="0.2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</row>
    <row r="119" spans="2:13" x14ac:dyDescent="0.2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spans="2:13" x14ac:dyDescent="0.2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</row>
    <row r="121" spans="2:13" x14ac:dyDescent="0.2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</row>
    <row r="122" spans="2:13" x14ac:dyDescent="0.2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</row>
    <row r="123" spans="2:13" x14ac:dyDescent="0.2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2:13" x14ac:dyDescent="0.2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</row>
    <row r="125" spans="2:13" x14ac:dyDescent="0.2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</row>
    <row r="126" spans="2:13" x14ac:dyDescent="0.2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Normal="100" workbookViewId="0">
      <selection activeCell="R23" sqref="R23"/>
    </sheetView>
  </sheetViews>
  <sheetFormatPr defaultRowHeight="12.75" x14ac:dyDescent="0.2"/>
  <cols>
    <col min="1" max="2" width="1.7109375" style="2" customWidth="1"/>
    <col min="3" max="3" width="10.28515625" style="2" customWidth="1"/>
    <col min="4" max="4" width="9.7109375" style="2" customWidth="1"/>
    <col min="5" max="6" width="10" style="2" customWidth="1"/>
    <col min="7" max="7" width="10.7109375" style="2" customWidth="1"/>
    <col min="8" max="9" width="9.7109375" style="2" customWidth="1"/>
    <col min="10" max="10" width="10.140625" style="2" customWidth="1"/>
    <col min="11" max="11" width="9.7109375" style="2" customWidth="1"/>
    <col min="12" max="12" width="11" style="2" customWidth="1"/>
    <col min="13" max="13" width="11.42578125" style="2" customWidth="1"/>
    <col min="14" max="15" width="1.7109375" style="2" customWidth="1"/>
    <col min="16" max="17" width="10" style="2" customWidth="1"/>
    <col min="18" max="19" width="9.140625" style="2"/>
    <col min="20" max="20" width="25.7109375" style="2" customWidth="1"/>
    <col min="21" max="21" width="16.7109375" style="2" bestFit="1" customWidth="1"/>
    <col min="22" max="16384" width="9.140625" style="2"/>
  </cols>
  <sheetData>
    <row r="1" spans="1:19" ht="7.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6.5" thickTop="1" x14ac:dyDescent="0.2">
      <c r="A2" s="1"/>
      <c r="B2" s="227"/>
      <c r="C2" s="228" t="s">
        <v>173</v>
      </c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231"/>
    </row>
    <row r="3" spans="1:19" ht="15.75" x14ac:dyDescent="0.25">
      <c r="A3" s="1"/>
      <c r="B3" s="232"/>
      <c r="C3" s="282" t="s">
        <v>67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33"/>
    </row>
    <row r="4" spans="1:19" ht="15.75" x14ac:dyDescent="0.25">
      <c r="A4" s="1"/>
      <c r="B4" s="232"/>
      <c r="C4" s="283" t="s">
        <v>150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33"/>
    </row>
    <row r="5" spans="1:19" x14ac:dyDescent="0.2">
      <c r="A5" s="1"/>
      <c r="B5" s="23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33"/>
    </row>
    <row r="6" spans="1:19" x14ac:dyDescent="0.2">
      <c r="A6" s="1"/>
      <c r="B6" s="232"/>
      <c r="C6" s="4" t="s">
        <v>5</v>
      </c>
      <c r="D6" s="234" t="s">
        <v>187</v>
      </c>
      <c r="E6" s="235"/>
      <c r="F6" s="235"/>
      <c r="G6" s="235"/>
      <c r="H6" s="235"/>
      <c r="I6" s="235"/>
      <c r="J6" s="235"/>
      <c r="K6" s="235"/>
      <c r="L6" s="236"/>
      <c r="M6" s="3"/>
      <c r="N6" s="233"/>
      <c r="R6" s="5"/>
    </row>
    <row r="7" spans="1:19" x14ac:dyDescent="0.2">
      <c r="A7" s="1"/>
      <c r="B7" s="232"/>
      <c r="C7" s="3"/>
      <c r="D7" s="6" t="s">
        <v>188</v>
      </c>
      <c r="E7" s="7"/>
      <c r="F7" s="7"/>
      <c r="G7" s="7"/>
      <c r="H7" s="7"/>
      <c r="I7" s="7"/>
      <c r="J7" s="7"/>
      <c r="K7" s="7"/>
      <c r="L7" s="8"/>
      <c r="M7" s="3"/>
      <c r="N7" s="233"/>
      <c r="R7" s="5"/>
      <c r="S7" s="9"/>
    </row>
    <row r="8" spans="1:19" x14ac:dyDescent="0.2">
      <c r="A8" s="1"/>
      <c r="B8" s="23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33"/>
      <c r="R8" s="5"/>
    </row>
    <row r="9" spans="1:19" x14ac:dyDescent="0.2">
      <c r="A9" s="1"/>
      <c r="B9" s="232"/>
      <c r="C9" s="4" t="s">
        <v>136</v>
      </c>
      <c r="D9" s="3"/>
      <c r="E9" s="3"/>
      <c r="F9" s="3"/>
      <c r="G9" s="3"/>
      <c r="H9" s="3"/>
      <c r="I9" s="4" t="s">
        <v>135</v>
      </c>
      <c r="J9" s="3"/>
      <c r="K9" s="3"/>
      <c r="L9" s="3"/>
      <c r="M9" s="3"/>
      <c r="N9" s="233"/>
      <c r="R9" s="5"/>
    </row>
    <row r="10" spans="1:19" x14ac:dyDescent="0.2">
      <c r="A10" s="1"/>
      <c r="B10" s="232"/>
      <c r="C10" s="3" t="s">
        <v>22</v>
      </c>
      <c r="D10" s="3"/>
      <c r="E10" s="3"/>
      <c r="F10" s="3"/>
      <c r="G10" s="10">
        <v>152.4</v>
      </c>
      <c r="H10" s="3"/>
      <c r="I10" s="3" t="s">
        <v>95</v>
      </c>
      <c r="J10" s="3"/>
      <c r="K10" s="3"/>
      <c r="L10" s="11">
        <v>9</v>
      </c>
      <c r="M10" s="3"/>
      <c r="N10" s="233"/>
      <c r="P10" s="2" t="s">
        <v>172</v>
      </c>
      <c r="R10" s="5"/>
    </row>
    <row r="11" spans="1:19" x14ac:dyDescent="0.2">
      <c r="A11" s="1"/>
      <c r="B11" s="232"/>
      <c r="C11" s="3" t="s">
        <v>23</v>
      </c>
      <c r="D11" s="3"/>
      <c r="E11" s="3"/>
      <c r="F11" s="3"/>
      <c r="G11" s="12">
        <v>1700</v>
      </c>
      <c r="H11" s="3"/>
      <c r="I11" s="3" t="s">
        <v>25</v>
      </c>
      <c r="J11" s="3"/>
      <c r="K11" s="3"/>
      <c r="L11" s="11">
        <v>18</v>
      </c>
      <c r="M11" s="3"/>
      <c r="N11" s="233"/>
      <c r="R11" s="5"/>
    </row>
    <row r="12" spans="1:19" x14ac:dyDescent="0.2">
      <c r="A12" s="1"/>
      <c r="B12" s="232"/>
      <c r="C12" s="3" t="s">
        <v>21</v>
      </c>
      <c r="D12" s="3"/>
      <c r="E12" s="3"/>
      <c r="F12" s="3"/>
      <c r="G12" s="10">
        <v>150</v>
      </c>
      <c r="H12" s="3"/>
      <c r="I12" s="3" t="s">
        <v>153</v>
      </c>
      <c r="J12" s="3"/>
      <c r="K12" s="3"/>
      <c r="L12" s="11">
        <v>2.7</v>
      </c>
      <c r="M12" s="3"/>
      <c r="N12" s="233"/>
      <c r="R12" s="5"/>
    </row>
    <row r="13" spans="1:19" x14ac:dyDescent="0.2">
      <c r="A13" s="1"/>
      <c r="B13" s="232"/>
      <c r="C13" s="3" t="s">
        <v>29</v>
      </c>
      <c r="D13" s="3"/>
      <c r="E13" s="3"/>
      <c r="F13" s="3"/>
      <c r="G13" s="13" t="s">
        <v>186</v>
      </c>
      <c r="H13" s="3"/>
      <c r="I13" s="3"/>
      <c r="J13" s="3"/>
      <c r="K13" s="3"/>
      <c r="L13" s="3"/>
      <c r="M13" s="3"/>
      <c r="N13" s="233"/>
    </row>
    <row r="14" spans="1:19" x14ac:dyDescent="0.2">
      <c r="A14" s="1"/>
      <c r="B14" s="23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33"/>
    </row>
    <row r="15" spans="1:19" x14ac:dyDescent="0.2">
      <c r="A15" s="1"/>
      <c r="B15" s="232"/>
      <c r="C15" s="4" t="s">
        <v>28</v>
      </c>
      <c r="D15" s="3"/>
      <c r="E15" s="3"/>
      <c r="F15" s="3"/>
      <c r="G15" s="3"/>
      <c r="H15" s="3" t="s">
        <v>32</v>
      </c>
      <c r="I15" s="3"/>
      <c r="J15" s="3"/>
      <c r="K15" s="3"/>
      <c r="L15" s="14">
        <f>IFERROR(G11/G12,"")</f>
        <v>11.333333333333334</v>
      </c>
      <c r="M15" s="3"/>
      <c r="N15" s="233"/>
    </row>
    <row r="16" spans="1:19" x14ac:dyDescent="0.2">
      <c r="A16" s="1"/>
      <c r="B16" s="232"/>
      <c r="C16" s="4"/>
      <c r="D16" s="3"/>
      <c r="E16" s="3"/>
      <c r="F16" s="3"/>
      <c r="G16" s="3"/>
      <c r="H16" s="3" t="s">
        <v>63</v>
      </c>
      <c r="I16" s="3"/>
      <c r="J16" s="3"/>
      <c r="K16" s="3"/>
      <c r="L16" s="15">
        <f>IFERROR(4000*SQRT(13/$L$11),"")</f>
        <v>3399.3463423951898</v>
      </c>
      <c r="M16" s="3"/>
      <c r="N16" s="233"/>
    </row>
    <row r="17" spans="1:20" ht="13.5" thickBot="1" x14ac:dyDescent="0.25">
      <c r="A17" s="1"/>
      <c r="B17" s="232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233"/>
    </row>
    <row r="18" spans="1:20" ht="14.25" thickTop="1" thickBot="1" x14ac:dyDescent="0.25">
      <c r="A18" s="1"/>
      <c r="B18" s="232"/>
      <c r="C18" s="4"/>
      <c r="D18" s="3"/>
      <c r="E18" s="3"/>
      <c r="F18" s="3"/>
      <c r="G18" s="16" t="s">
        <v>6</v>
      </c>
      <c r="H18" s="17" t="str">
        <f>IF($I$40=0,"AG Mill","SAG Mill")</f>
        <v>SAG Mill</v>
      </c>
      <c r="I18" s="18" t="s">
        <v>20</v>
      </c>
      <c r="J18" s="19" t="s">
        <v>31</v>
      </c>
      <c r="K18" s="20"/>
      <c r="L18" s="20"/>
      <c r="M18" s="21"/>
      <c r="N18" s="233"/>
    </row>
    <row r="19" spans="1:20" ht="13.5" thickTop="1" x14ac:dyDescent="0.2">
      <c r="A19" s="1"/>
      <c r="B19" s="232"/>
      <c r="C19" s="3" t="s">
        <v>147</v>
      </c>
      <c r="D19" s="3"/>
      <c r="E19" s="3"/>
      <c r="F19" s="3"/>
      <c r="G19" s="22"/>
      <c r="H19" s="23">
        <f>IF($L$10="","",$L$10)</f>
        <v>9</v>
      </c>
      <c r="I19" s="23">
        <f>IF($L$11="","",$L$11)</f>
        <v>18</v>
      </c>
      <c r="J19" s="273" t="s">
        <v>30</v>
      </c>
      <c r="K19" s="274"/>
      <c r="L19" s="274"/>
      <c r="M19" s="275"/>
      <c r="N19" s="233"/>
    </row>
    <row r="20" spans="1:20" x14ac:dyDescent="0.2">
      <c r="A20" s="1"/>
      <c r="B20" s="232"/>
      <c r="C20" s="3" t="str">
        <f>IF($I$40=0,"   AG Feed Correction Factor, %","   SAG Feed Correction Factor, %")</f>
        <v xml:space="preserve">   SAG Feed Correction Factor, %</v>
      </c>
      <c r="D20" s="3"/>
      <c r="E20" s="3"/>
      <c r="F20" s="3"/>
      <c r="G20" s="24">
        <f>IF(ISBLANK(G10),0,(G10-152.4)/25.4*5/100)</f>
        <v>0</v>
      </c>
      <c r="H20" s="23">
        <f>IF($H$19="","",H19*G20)</f>
        <v>0</v>
      </c>
      <c r="I20" s="25"/>
      <c r="J20" s="276" t="s">
        <v>19</v>
      </c>
      <c r="K20" s="277"/>
      <c r="L20" s="277"/>
      <c r="M20" s="278"/>
      <c r="N20" s="233"/>
    </row>
    <row r="21" spans="1:20" ht="14.25" x14ac:dyDescent="0.25">
      <c r="A21" s="1"/>
      <c r="B21" s="232"/>
      <c r="C21" s="3" t="str">
        <f>IF($I$40=0,"   AG Pebble Crusher Energy Reduction, %","   SAG Pebble Crusher Energy Reduction, %")</f>
        <v xml:space="preserve">   SAG Pebble Crusher Energy Reduction, %</v>
      </c>
      <c r="D21" s="3"/>
      <c r="E21" s="3"/>
      <c r="F21" s="3"/>
      <c r="G21" s="26">
        <v>-0.2</v>
      </c>
      <c r="H21" s="23">
        <f>IF($H$19="","",SUM(H19:H20)*G21)</f>
        <v>-1.8</v>
      </c>
      <c r="I21" s="25"/>
      <c r="J21" s="276" t="s">
        <v>189</v>
      </c>
      <c r="K21" s="277"/>
      <c r="L21" s="277"/>
      <c r="M21" s="278"/>
      <c r="N21" s="233"/>
    </row>
    <row r="22" spans="1:20" ht="15" thickBot="1" x14ac:dyDescent="0.3">
      <c r="A22" s="1"/>
      <c r="B22" s="232"/>
      <c r="C22" s="3" t="str">
        <f>IF($I$40=0,"   AG Adjust. to Transfer Size T80, kWh/ton","   SAG Adjust. to Transfer Size T80, kWh/ton")</f>
        <v xml:space="preserve">   SAG Adjust. to Transfer Size T80, kWh/ton</v>
      </c>
      <c r="D22" s="3"/>
      <c r="E22" s="3"/>
      <c r="F22" s="3"/>
      <c r="G22" s="237"/>
      <c r="H22" s="73">
        <f>IF(G25="","",IF(ISBLANK(G11),"",(10*$L$11)*(1/($G$11)^0.5-1/(1700)^0.5)*G25))</f>
        <v>0</v>
      </c>
      <c r="I22" s="74"/>
      <c r="J22" s="270" t="s">
        <v>174</v>
      </c>
      <c r="K22" s="271"/>
      <c r="L22" s="271"/>
      <c r="M22" s="272"/>
      <c r="N22" s="233"/>
    </row>
    <row r="23" spans="1:20" ht="15" thickTop="1" x14ac:dyDescent="0.25">
      <c r="A23" s="1"/>
      <c r="B23" s="232"/>
      <c r="C23" s="3" t="s">
        <v>51</v>
      </c>
      <c r="D23" s="3"/>
      <c r="E23" s="3"/>
      <c r="F23" s="3"/>
      <c r="G23" s="22"/>
      <c r="H23" s="27"/>
      <c r="I23" s="28">
        <f>IF(OR(ISBLANK($G$12),ISBLANK($G$11),$I$19=""),"",(10*$I$19)*(1/($G$12)^0.5-1/($G$11)^0.5))</f>
        <v>10.331297206045077</v>
      </c>
      <c r="J23" s="273" t="s">
        <v>175</v>
      </c>
      <c r="K23" s="274"/>
      <c r="L23" s="274"/>
      <c r="M23" s="275"/>
      <c r="N23" s="233"/>
      <c r="R23" s="29"/>
      <c r="S23" s="29"/>
    </row>
    <row r="24" spans="1:20" ht="14.25" x14ac:dyDescent="0.25">
      <c r="A24" s="1"/>
      <c r="B24" s="232"/>
      <c r="C24" s="3" t="s">
        <v>176</v>
      </c>
      <c r="D24" s="3"/>
      <c r="E24" s="3"/>
      <c r="F24" s="3"/>
      <c r="G24" s="30">
        <f>IFERROR(IF(($L$15+($L$11-7)*($G$11-$L$16)/$L$16)/$L$15&gt;1,($L$15+($L$11-7)*($G$11-$L$16)/$L$16)/$L$15,1),"")</f>
        <v>1</v>
      </c>
      <c r="H24" s="25"/>
      <c r="I24" s="23">
        <f>IF(I23="","",I23*(G24-1))</f>
        <v>0</v>
      </c>
      <c r="J24" s="3" t="s">
        <v>33</v>
      </c>
      <c r="K24" s="3"/>
      <c r="L24" s="3"/>
      <c r="M24" s="31"/>
      <c r="N24" s="233"/>
      <c r="Q24" s="32"/>
      <c r="R24" s="32"/>
      <c r="S24" s="32"/>
    </row>
    <row r="25" spans="1:20" ht="14.25" x14ac:dyDescent="0.25">
      <c r="A25" s="1"/>
      <c r="B25" s="232"/>
      <c r="C25" s="3" t="s">
        <v>177</v>
      </c>
      <c r="D25" s="3"/>
      <c r="E25" s="3"/>
      <c r="F25" s="3"/>
      <c r="G25" s="30">
        <f>IFERROR(IF(($G$12+10.3)/($G$12*1.145)&gt;1,($G$12+10.3)/($G$12*1.145),1),"")</f>
        <v>1</v>
      </c>
      <c r="H25" s="25"/>
      <c r="I25" s="23">
        <f>IF(I23="","",SUM(I23:I24)*(G25-1))</f>
        <v>0</v>
      </c>
      <c r="J25" s="276" t="s">
        <v>34</v>
      </c>
      <c r="K25" s="277"/>
      <c r="L25" s="277"/>
      <c r="M25" s="278"/>
      <c r="N25" s="233"/>
      <c r="Q25" s="32"/>
      <c r="R25" s="32"/>
      <c r="S25" s="32"/>
      <c r="T25" s="32"/>
    </row>
    <row r="26" spans="1:20" ht="15" thickBot="1" x14ac:dyDescent="0.3">
      <c r="A26" s="1"/>
      <c r="B26" s="232"/>
      <c r="C26" s="3" t="s">
        <v>178</v>
      </c>
      <c r="D26" s="3"/>
      <c r="E26" s="3"/>
      <c r="F26" s="3"/>
      <c r="G26" s="33">
        <f>IF($F$47="","",IF($L$32="Overflow",IF(((8/($F$47-0.5))^0.2)&lt;1,(8/($F$47-0.5))^0.2,1),1))</f>
        <v>0.82446863478107524</v>
      </c>
      <c r="H26" s="74"/>
      <c r="I26" s="23">
        <f>IF(OR(I$23="",$G$26=""),"",SUM(I$23:I$25)*($G$26-1))</f>
        <v>-1.8134667030595555</v>
      </c>
      <c r="J26" s="270" t="s">
        <v>35</v>
      </c>
      <c r="K26" s="271"/>
      <c r="L26" s="271"/>
      <c r="M26" s="272"/>
      <c r="N26" s="233"/>
      <c r="R26" s="29"/>
      <c r="S26" s="29"/>
    </row>
    <row r="27" spans="1:20" ht="14.25" thickTop="1" thickBot="1" x14ac:dyDescent="0.25">
      <c r="A27" s="1"/>
      <c r="B27" s="232"/>
      <c r="C27" s="4" t="s">
        <v>36</v>
      </c>
      <c r="D27" s="4"/>
      <c r="E27" s="4"/>
      <c r="F27" s="4"/>
      <c r="G27" s="34"/>
      <c r="H27" s="35">
        <f>IF($L$10="","",SUM(H19:H22))</f>
        <v>7.2</v>
      </c>
      <c r="I27" s="36">
        <f>IF($L$11="","",SUM(I23:I26))</f>
        <v>8.5178305029855217</v>
      </c>
      <c r="J27" s="37"/>
      <c r="K27" s="38"/>
      <c r="L27" s="38"/>
      <c r="M27" s="39"/>
      <c r="N27" s="233"/>
    </row>
    <row r="28" spans="1:20" ht="14.25" thickTop="1" thickBot="1" x14ac:dyDescent="0.25">
      <c r="A28" s="1"/>
      <c r="B28" s="23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33"/>
    </row>
    <row r="29" spans="1:20" ht="13.5" thickTop="1" x14ac:dyDescent="0.2">
      <c r="A29" s="1"/>
      <c r="B29" s="232"/>
      <c r="C29" s="4" t="s">
        <v>148</v>
      </c>
      <c r="D29" s="3"/>
      <c r="E29" s="3"/>
      <c r="F29" s="40" t="s">
        <v>77</v>
      </c>
      <c r="G29" s="265" t="s">
        <v>138</v>
      </c>
      <c r="H29" s="267"/>
      <c r="I29" s="41" t="s">
        <v>14</v>
      </c>
      <c r="J29" s="265" t="s">
        <v>64</v>
      </c>
      <c r="K29" s="267"/>
      <c r="L29" s="42" t="s">
        <v>83</v>
      </c>
      <c r="M29" s="43" t="s">
        <v>157</v>
      </c>
      <c r="N29" s="233"/>
    </row>
    <row r="30" spans="1:20" ht="13.5" thickBot="1" x14ac:dyDescent="0.25">
      <c r="A30" s="1"/>
      <c r="B30" s="232"/>
      <c r="C30" s="4"/>
      <c r="D30" s="3"/>
      <c r="E30" s="3"/>
      <c r="F30" s="238" t="s">
        <v>146</v>
      </c>
      <c r="G30" s="239" t="s">
        <v>65</v>
      </c>
      <c r="H30" s="239" t="s">
        <v>60</v>
      </c>
      <c r="I30" s="240" t="s">
        <v>10</v>
      </c>
      <c r="J30" s="241" t="s">
        <v>1</v>
      </c>
      <c r="K30" s="242" t="s">
        <v>0</v>
      </c>
      <c r="L30" s="243" t="s">
        <v>139</v>
      </c>
      <c r="M30" s="244" t="s">
        <v>155</v>
      </c>
      <c r="N30" s="233"/>
    </row>
    <row r="31" spans="1:20" ht="13.5" thickTop="1" x14ac:dyDescent="0.2">
      <c r="A31" s="1"/>
      <c r="B31" s="232"/>
      <c r="C31" s="44" t="str">
        <f>IF($I$40=0,"   AG Mill","   SAG Mill")</f>
        <v xml:space="preserve">   SAG Mill</v>
      </c>
      <c r="D31" s="45"/>
      <c r="E31" s="46"/>
      <c r="F31" s="47">
        <v>1</v>
      </c>
      <c r="G31" s="48">
        <v>34</v>
      </c>
      <c r="H31" s="49">
        <v>13.31</v>
      </c>
      <c r="I31" s="50">
        <f>IFERROR($G$31/$H$31,"")</f>
        <v>2.5544703230653645</v>
      </c>
      <c r="J31" s="51">
        <v>8400</v>
      </c>
      <c r="K31" s="51">
        <f>J31*1.341</f>
        <v>11264.4</v>
      </c>
      <c r="L31" s="52" t="s">
        <v>37</v>
      </c>
      <c r="M31" s="53">
        <f>IFERROR(($J$31/(1+$J$40/100))/($H$27*$L$35),0)</f>
        <v>1000.5717552887363</v>
      </c>
      <c r="N31" s="233"/>
    </row>
    <row r="32" spans="1:20" ht="13.5" thickBot="1" x14ac:dyDescent="0.25">
      <c r="A32" s="1"/>
      <c r="B32" s="232"/>
      <c r="C32" s="54" t="s">
        <v>66</v>
      </c>
      <c r="D32" s="55"/>
      <c r="E32" s="56"/>
      <c r="F32" s="245">
        <v>1</v>
      </c>
      <c r="G32" s="57">
        <v>22</v>
      </c>
      <c r="H32" s="75">
        <v>36.15</v>
      </c>
      <c r="I32" s="246">
        <f>IFERROR($H$32/$G$32,"")</f>
        <v>1.6431818181818181</v>
      </c>
      <c r="J32" s="247">
        <v>9500</v>
      </c>
      <c r="K32" s="247">
        <f>J32*1.341</f>
        <v>12739.5</v>
      </c>
      <c r="L32" s="248" t="s">
        <v>38</v>
      </c>
      <c r="M32" s="58">
        <f>IFERROR(($J$32/(1+$J$41/100))/($I$27*$L$36),0)</f>
        <v>1002.0731998099079</v>
      </c>
      <c r="N32" s="233"/>
    </row>
    <row r="33" spans="1:19" ht="14.25" thickTop="1" thickBot="1" x14ac:dyDescent="0.25">
      <c r="A33" s="1"/>
      <c r="B33" s="23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33"/>
    </row>
    <row r="34" spans="1:19" ht="14.25" thickTop="1" thickBot="1" x14ac:dyDescent="0.25">
      <c r="A34" s="1"/>
      <c r="B34" s="232"/>
      <c r="C34" s="4" t="s">
        <v>140</v>
      </c>
      <c r="D34" s="3"/>
      <c r="E34" s="3"/>
      <c r="F34" s="59" t="s">
        <v>39</v>
      </c>
      <c r="G34" s="286" t="s">
        <v>16</v>
      </c>
      <c r="H34" s="287"/>
      <c r="I34" s="249"/>
      <c r="J34" s="60" t="s">
        <v>40</v>
      </c>
      <c r="K34" s="60"/>
      <c r="L34" s="61" t="s">
        <v>41</v>
      </c>
      <c r="M34" s="3"/>
      <c r="N34" s="233"/>
    </row>
    <row r="35" spans="1:19" ht="13.5" thickTop="1" x14ac:dyDescent="0.2">
      <c r="A35" s="1"/>
      <c r="B35" s="232"/>
      <c r="C35" s="3" t="str">
        <f>IF($I$40=0,"   AG Mill Motor Type","   SAG Mill Motor Type")</f>
        <v xml:space="preserve">   SAG Mill Motor Type</v>
      </c>
      <c r="D35" s="3"/>
      <c r="E35" s="3"/>
      <c r="F35" s="62" t="s">
        <v>78</v>
      </c>
      <c r="G35" s="284" t="s">
        <v>43</v>
      </c>
      <c r="H35" s="288"/>
      <c r="I35" s="285"/>
      <c r="J35" s="284" t="s">
        <v>46</v>
      </c>
      <c r="K35" s="285"/>
      <c r="L35" s="63">
        <f>IFERROR(VLOOKUP(S35,Tables!$A$10:$B$16,2,FALSE),"Not defined")</f>
        <v>1.06</v>
      </c>
      <c r="M35" s="3"/>
      <c r="N35" s="233"/>
      <c r="P35" s="64">
        <f>MATCH(F35,Tables!$A$3:$A$4,0)</f>
        <v>1</v>
      </c>
      <c r="Q35" s="64">
        <f>MATCH(G35,Tables!$B$3:$B$7,0)</f>
        <v>3</v>
      </c>
      <c r="R35" s="64">
        <f>MATCH($J$35,Tables!$D$3:$D$6,0)</f>
        <v>1</v>
      </c>
      <c r="S35" s="64">
        <f>P35*100+Q35*10+R35</f>
        <v>131</v>
      </c>
    </row>
    <row r="36" spans="1:19" ht="13.5" thickBot="1" x14ac:dyDescent="0.25">
      <c r="A36" s="1"/>
      <c r="B36" s="232"/>
      <c r="C36" s="3" t="s">
        <v>49</v>
      </c>
      <c r="D36" s="3"/>
      <c r="E36" s="3"/>
      <c r="F36" s="250" t="s">
        <v>78</v>
      </c>
      <c r="G36" s="280" t="s">
        <v>43</v>
      </c>
      <c r="H36" s="289"/>
      <c r="I36" s="281"/>
      <c r="J36" s="280" t="s">
        <v>46</v>
      </c>
      <c r="K36" s="281"/>
      <c r="L36" s="251">
        <f>IFERROR(VLOOKUP(S36,Tables!$A$10:$B$16,2,FALSE),"Not defined")</f>
        <v>1.06</v>
      </c>
      <c r="M36" s="3"/>
      <c r="N36" s="233"/>
      <c r="P36" s="64">
        <f>MATCH(F36,Tables!A3:A4,0)</f>
        <v>1</v>
      </c>
      <c r="Q36" s="64">
        <f>MATCH(G36,Tables!B3:B7,0)</f>
        <v>3</v>
      </c>
      <c r="R36" s="64">
        <f>MATCH($J$36,Tables!$D$3:$D$6,0)</f>
        <v>1</v>
      </c>
      <c r="S36" s="64">
        <f>P36*100+Q36*10+R36</f>
        <v>131</v>
      </c>
    </row>
    <row r="37" spans="1:19" ht="14.25" thickTop="1" thickBot="1" x14ac:dyDescent="0.25">
      <c r="A37" s="1"/>
      <c r="B37" s="23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33"/>
    </row>
    <row r="38" spans="1:19" ht="13.5" thickTop="1" x14ac:dyDescent="0.2">
      <c r="A38" s="1"/>
      <c r="B38" s="232"/>
      <c r="C38" s="4" t="s">
        <v>149</v>
      </c>
      <c r="D38" s="3"/>
      <c r="E38" s="3"/>
      <c r="F38" s="65" t="s">
        <v>141</v>
      </c>
      <c r="G38" s="66" t="s">
        <v>39</v>
      </c>
      <c r="H38" s="252" t="s">
        <v>143</v>
      </c>
      <c r="I38" s="66" t="s">
        <v>144</v>
      </c>
      <c r="J38" s="67" t="s">
        <v>13</v>
      </c>
      <c r="K38" s="3"/>
      <c r="L38" s="3"/>
      <c r="M38" s="3"/>
      <c r="N38" s="233"/>
    </row>
    <row r="39" spans="1:19" ht="13.5" thickBot="1" x14ac:dyDescent="0.25">
      <c r="A39" s="1"/>
      <c r="B39" s="232"/>
      <c r="C39" s="3"/>
      <c r="D39" s="3"/>
      <c r="E39" s="3"/>
      <c r="F39" s="253" t="s">
        <v>39</v>
      </c>
      <c r="G39" s="239" t="s">
        <v>145</v>
      </c>
      <c r="H39" s="241" t="s">
        <v>142</v>
      </c>
      <c r="I39" s="239" t="s">
        <v>142</v>
      </c>
      <c r="J39" s="243" t="s">
        <v>4</v>
      </c>
      <c r="K39" s="3"/>
      <c r="L39" s="3"/>
      <c r="M39" s="3"/>
      <c r="N39" s="233"/>
    </row>
    <row r="40" spans="1:19" ht="13.5" thickTop="1" x14ac:dyDescent="0.2">
      <c r="A40" s="1"/>
      <c r="B40" s="232"/>
      <c r="C40" s="44" t="str">
        <f>IF($I$40=0,"   AG Mill","   SAG Mill")</f>
        <v xml:space="preserve">   SAG Mill</v>
      </c>
      <c r="D40" s="45"/>
      <c r="E40" s="46"/>
      <c r="F40" s="68">
        <v>75</v>
      </c>
      <c r="G40" s="28">
        <f>IF(OR(ISBLANK($F$40),$F$46=""),"",(76.6/$F$46^0.5)*($F$40/100))</f>
        <v>9.9258482099298284</v>
      </c>
      <c r="H40" s="69">
        <v>26</v>
      </c>
      <c r="I40" s="70">
        <v>10</v>
      </c>
      <c r="J40" s="71">
        <v>10</v>
      </c>
      <c r="K40" s="3"/>
      <c r="L40" s="3"/>
      <c r="M40" s="3"/>
      <c r="N40" s="233"/>
    </row>
    <row r="41" spans="1:19" ht="13.5" thickBot="1" x14ac:dyDescent="0.25">
      <c r="A41" s="1"/>
      <c r="B41" s="232"/>
      <c r="C41" s="54" t="s">
        <v>66</v>
      </c>
      <c r="D41" s="55"/>
      <c r="E41" s="56"/>
      <c r="F41" s="72">
        <v>75</v>
      </c>
      <c r="G41" s="73">
        <f>IF(OR(ISBLANK($F$41),$F$47=""),"",(76.6/$F$47^0.5)*($F$41/100))</f>
        <v>12.389985641075073</v>
      </c>
      <c r="H41" s="74"/>
      <c r="I41" s="75">
        <v>35</v>
      </c>
      <c r="J41" s="76">
        <v>5</v>
      </c>
      <c r="K41" s="3"/>
      <c r="L41" s="3"/>
      <c r="M41" s="3"/>
      <c r="N41" s="233"/>
    </row>
    <row r="42" spans="1:19" ht="13.5" thickTop="1" x14ac:dyDescent="0.2">
      <c r="A42" s="1"/>
      <c r="B42" s="23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33"/>
    </row>
    <row r="43" spans="1:19" ht="13.5" thickBot="1" x14ac:dyDescent="0.25">
      <c r="B43" s="232"/>
      <c r="C43" s="4" t="s">
        <v>160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233"/>
      <c r="P43" s="279" t="s">
        <v>161</v>
      </c>
      <c r="Q43" s="279"/>
    </row>
    <row r="44" spans="1:19" ht="13.5" thickTop="1" x14ac:dyDescent="0.2">
      <c r="A44" s="1"/>
      <c r="B44" s="232"/>
      <c r="C44" s="3"/>
      <c r="D44" s="3"/>
      <c r="E44" s="3"/>
      <c r="F44" s="40" t="s">
        <v>151</v>
      </c>
      <c r="G44" s="265" t="s">
        <v>61</v>
      </c>
      <c r="H44" s="266"/>
      <c r="I44" s="266"/>
      <c r="J44" s="267"/>
      <c r="K44" s="268" t="s">
        <v>152</v>
      </c>
      <c r="L44" s="269"/>
      <c r="M44" s="77" t="s">
        <v>154</v>
      </c>
      <c r="N44" s="233"/>
      <c r="P44" s="78" t="s">
        <v>18</v>
      </c>
      <c r="Q44" s="78" t="s">
        <v>158</v>
      </c>
    </row>
    <row r="45" spans="1:19" ht="13.5" thickBot="1" x14ac:dyDescent="0.25">
      <c r="A45" s="1"/>
      <c r="B45" s="232"/>
      <c r="C45" s="254"/>
      <c r="D45" s="254"/>
      <c r="E45" s="254"/>
      <c r="F45" s="238" t="s">
        <v>59</v>
      </c>
      <c r="G45" s="241" t="s">
        <v>60</v>
      </c>
      <c r="H45" s="239" t="s">
        <v>55</v>
      </c>
      <c r="I45" s="239" t="s">
        <v>56</v>
      </c>
      <c r="J45" s="242" t="s">
        <v>57</v>
      </c>
      <c r="K45" s="241" t="s">
        <v>1</v>
      </c>
      <c r="L45" s="244" t="s">
        <v>0</v>
      </c>
      <c r="M45" s="79" t="s">
        <v>155</v>
      </c>
      <c r="N45" s="233"/>
      <c r="P45" s="78" t="s">
        <v>159</v>
      </c>
      <c r="Q45" s="78" t="s">
        <v>157</v>
      </c>
    </row>
    <row r="46" spans="1:19" ht="13.5" thickTop="1" x14ac:dyDescent="0.2">
      <c r="A46" s="1"/>
      <c r="B46" s="232"/>
      <c r="C46" s="44" t="str">
        <f>IF($I$40=0,"   AG Mill","   SAG Mill")</f>
        <v xml:space="preserve">   SAG Mill</v>
      </c>
      <c r="D46" s="45"/>
      <c r="E46" s="45"/>
      <c r="F46" s="80">
        <f>IF(ISBLANK($G$31),"",$G$31-0.5)</f>
        <v>33.5</v>
      </c>
      <c r="G46" s="81">
        <f>IF(ISBLANK($H$31),"",$H$31)</f>
        <v>13.31</v>
      </c>
      <c r="H46" s="82">
        <f>IFERROR(0.195319*($F46)^2.501,"")</f>
        <v>1273.1558048162196</v>
      </c>
      <c r="I46" s="50">
        <f>IFERROR(ROUND(Tables!$K$32*$L$35,2),"")</f>
        <v>3.26</v>
      </c>
      <c r="J46" s="83">
        <f>IF(ISBLANK($F$40),"",IF(AND($F40&gt;76.5,$F40&lt;84.5),0.079831-0.001025*$F40+0.0000322*$F40*$F40,0.079531-0.001025*$F40+0.0000322*$F40*$F40))</f>
        <v>0.18378099999999997</v>
      </c>
      <c r="K46" s="84">
        <f>L46/1.341</f>
        <v>7570.9267180585193</v>
      </c>
      <c r="L46" s="85">
        <f>IFERROR(IF(OR(ISBLANK($G31),ISBLANK($H31)),0,$G46*$H46*$I46*$J46),0)</f>
        <v>10152.612728916474</v>
      </c>
      <c r="M46" s="86">
        <f>IFERROR($K$46/($H$27*$L$35),"")</f>
        <v>991.99773559466962</v>
      </c>
      <c r="N46" s="233"/>
      <c r="P46" s="87">
        <f>IFERROR(F31*M46,0)</f>
        <v>991.99773559466962</v>
      </c>
      <c r="Q46" s="87">
        <f>F31*M31</f>
        <v>1000.5717552887363</v>
      </c>
    </row>
    <row r="47" spans="1:19" ht="13.5" thickBot="1" x14ac:dyDescent="0.25">
      <c r="A47" s="1"/>
      <c r="B47" s="232"/>
      <c r="C47" s="54" t="s">
        <v>66</v>
      </c>
      <c r="D47" s="55"/>
      <c r="E47" s="254"/>
      <c r="F47" s="255">
        <f>IF(ISBLANK($G$32),"",$G$32-0.5)</f>
        <v>21.5</v>
      </c>
      <c r="G47" s="256">
        <f>IF(ISBLANK($H$32),"",$H$32)</f>
        <v>36.15</v>
      </c>
      <c r="H47" s="257">
        <f>IFERROR(0.1765*($F47)^2.501,"")</f>
        <v>379.4663744975033</v>
      </c>
      <c r="I47" s="246">
        <f>IF(ISBLANK($I$41),"",0.19473+0.202026*$I$41-0.00204*$I$41^2)</f>
        <v>4.7666400000000007</v>
      </c>
      <c r="J47" s="258">
        <f>IF(ISBLANK($F$41),"",IF(AND($F41&gt;76.5,$F41&lt;84.5),0.079831-0.001025*$F41+0.0000322*$F41*$F41,0.079531-0.001025*$F41+0.0000322*$F41*$F41))</f>
        <v>0.18378099999999997</v>
      </c>
      <c r="K47" s="259">
        <f>L47/1.341</f>
        <v>8961.1920553051623</v>
      </c>
      <c r="L47" s="260">
        <f>IFERROR(IF(OR(ISBLANK($G32),ISBLANK($H32)),0,$G47*$H47*$I47*$J47),0)</f>
        <v>12016.958546164222</v>
      </c>
      <c r="M47" s="88">
        <f>IFERROR($K$47/($I$27*$L$36),"")</f>
        <v>992.50093861255868</v>
      </c>
      <c r="N47" s="233"/>
      <c r="P47" s="87">
        <f>IFERROR(F32*M47,0)</f>
        <v>992.50093861255868</v>
      </c>
      <c r="Q47" s="87">
        <f>F32*M32</f>
        <v>1002.0731998099079</v>
      </c>
    </row>
    <row r="48" spans="1:19" ht="14.25" thickTop="1" thickBot="1" x14ac:dyDescent="0.25">
      <c r="A48" s="1"/>
      <c r="B48" s="23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33"/>
    </row>
    <row r="49" spans="1:14" ht="13.5" thickTop="1" x14ac:dyDescent="0.2">
      <c r="A49" s="1"/>
      <c r="B49" s="232"/>
      <c r="C49" s="4" t="s">
        <v>169</v>
      </c>
      <c r="D49" s="3"/>
      <c r="E49" s="3"/>
      <c r="F49" s="89">
        <f>IF(MIN($P$46:$P$47)=$P$46,MIN($P$46:$P$47),MIN($P$46:$P$47))</f>
        <v>991.99773559466962</v>
      </c>
      <c r="G49" s="90" t="s">
        <v>155</v>
      </c>
      <c r="H49" s="4" t="str">
        <f>IF(AND($P$46&gt;$Q$46,$P$47&gt;$Q$47),"SAG and ball mill's operating conditions exceed installed capacity",IF(AND($P$46&lt;$Q$46,$P$47&lt;$Q$47),IF($P$46&lt;$P$47,"Circuit is SAG mill limited","Circuit is Ball Mill limited"),IF(P46&gt;Q46,"SAG mill's operating conditions exceed installed capacity",IF(P47&gt;Q47,"Ball mill's operating conditions exceed installed capacity",""))))</f>
        <v>Circuit is SAG mill limited</v>
      </c>
      <c r="I49" s="3"/>
      <c r="J49" s="3"/>
      <c r="K49" s="3"/>
      <c r="L49" s="3"/>
      <c r="M49" s="3"/>
      <c r="N49" s="233"/>
    </row>
    <row r="50" spans="1:14" ht="13.5" thickBot="1" x14ac:dyDescent="0.25">
      <c r="A50" s="1"/>
      <c r="B50" s="232"/>
      <c r="C50" s="4"/>
      <c r="D50" s="3"/>
      <c r="E50" s="3"/>
      <c r="F50" s="261">
        <f>F49*24</f>
        <v>23807.945654272073</v>
      </c>
      <c r="G50" s="90" t="s">
        <v>156</v>
      </c>
      <c r="H50" s="3"/>
      <c r="I50" s="3"/>
      <c r="J50" s="3"/>
      <c r="K50" s="3"/>
      <c r="L50" s="3"/>
      <c r="M50" s="3"/>
      <c r="N50" s="233"/>
    </row>
    <row r="51" spans="1:14" ht="14.25" thickTop="1" thickBot="1" x14ac:dyDescent="0.25">
      <c r="A51" s="1"/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4"/>
    </row>
    <row r="52" spans="1:14" ht="7.5" customHeight="1" thickTop="1" x14ac:dyDescent="0.2"/>
  </sheetData>
  <sortState ref="T20:T24">
    <sortCondition ref="T20:T24"/>
  </sortState>
  <mergeCells count="19">
    <mergeCell ref="P43:Q43"/>
    <mergeCell ref="G29:H29"/>
    <mergeCell ref="J29:K29"/>
    <mergeCell ref="J36:K36"/>
    <mergeCell ref="C3:M3"/>
    <mergeCell ref="C4:M4"/>
    <mergeCell ref="J35:K35"/>
    <mergeCell ref="J21:M21"/>
    <mergeCell ref="J19:M19"/>
    <mergeCell ref="J20:M20"/>
    <mergeCell ref="G34:H34"/>
    <mergeCell ref="G35:I35"/>
    <mergeCell ref="G36:I36"/>
    <mergeCell ref="G44:J44"/>
    <mergeCell ref="K44:L44"/>
    <mergeCell ref="J22:M22"/>
    <mergeCell ref="J23:M23"/>
    <mergeCell ref="J25:M25"/>
    <mergeCell ref="J26:M26"/>
  </mergeCells>
  <conditionalFormatting sqref="G30:I30">
    <cfRule type="duplicateValues" dxfId="4" priority="31"/>
  </conditionalFormatting>
  <conditionalFormatting sqref="G29">
    <cfRule type="duplicateValues" dxfId="3" priority="3"/>
  </conditionalFormatting>
  <conditionalFormatting sqref="H17:I18">
    <cfRule type="duplicateValues" dxfId="2" priority="70"/>
  </conditionalFormatting>
  <conditionalFormatting sqref="M46 M31">
    <cfRule type="cellIs" dxfId="1" priority="76" operator="greaterThan">
      <formula>$M$31</formula>
    </cfRule>
  </conditionalFormatting>
  <conditionalFormatting sqref="M47">
    <cfRule type="cellIs" dxfId="0" priority="78" operator="greaterThan">
      <formula>$M$32</formula>
    </cfRule>
  </conditionalFormatting>
  <dataValidations count="5">
    <dataValidation type="list" showInputMessage="1" showErrorMessage="1" errorTitle="Wrong Type" error="Enter Overflow or Grate." promptTitle="Ball Mill Discharge Type" prompt="Overflow or Grate Discharge?" sqref="L32">
      <formula1>BMDischargeType</formula1>
    </dataValidation>
    <dataValidation type="list" allowBlank="1" showInputMessage="1" showErrorMessage="1" promptTitle="Motor Speed" prompt="Fixed or Variable Speed Drive?" sqref="F35:F36">
      <formula1>MotorSpeedType</formula1>
    </dataValidation>
    <dataValidation type="list" allowBlank="1" showInputMessage="1" showErrorMessage="1" sqref="G35:I36">
      <formula1>MotorType</formula1>
    </dataValidation>
    <dataValidation type="list" allowBlank="1" showInputMessage="1" showErrorMessage="1" sqref="J35:K36">
      <formula1>MotorTransmissionType</formula1>
    </dataValidation>
    <dataValidation type="list" allowBlank="1" showInputMessage="1" showErrorMessage="1" sqref="L31">
      <formula1>BMDischargeType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8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showGridLines="0" zoomScale="120" zoomScaleNormal="120" zoomScaleSheetLayoutView="100" workbookViewId="0">
      <selection activeCell="G20" sqref="G20"/>
    </sheetView>
  </sheetViews>
  <sheetFormatPr defaultRowHeight="12.75" x14ac:dyDescent="0.2"/>
  <cols>
    <col min="1" max="1" width="2.7109375" style="2" customWidth="1"/>
    <col min="2" max="7" width="9.7109375" style="2" customWidth="1"/>
    <col min="8" max="8" width="10" style="2" customWidth="1"/>
    <col min="9" max="9" width="11.5703125" style="2" customWidth="1"/>
    <col min="10" max="10" width="2.7109375" style="2" customWidth="1"/>
    <col min="11" max="16384" width="9.140625" style="2"/>
  </cols>
  <sheetData>
    <row r="1" spans="2:9" ht="21" x14ac:dyDescent="0.35">
      <c r="B1" s="290" t="s">
        <v>67</v>
      </c>
      <c r="C1" s="290"/>
      <c r="D1" s="290"/>
      <c r="E1" s="290"/>
      <c r="F1" s="290"/>
      <c r="G1" s="290"/>
      <c r="H1" s="290"/>
      <c r="I1" s="290"/>
    </row>
    <row r="2" spans="2:9" ht="15" x14ac:dyDescent="0.25">
      <c r="B2" s="291" t="s">
        <v>164</v>
      </c>
      <c r="C2" s="291"/>
      <c r="D2" s="291"/>
      <c r="E2" s="291"/>
      <c r="F2" s="291"/>
      <c r="G2" s="291"/>
      <c r="H2" s="291"/>
      <c r="I2" s="291"/>
    </row>
    <row r="4" spans="2:9" ht="17.25" x14ac:dyDescent="0.3">
      <c r="B4" s="295" t="s">
        <v>166</v>
      </c>
      <c r="C4" s="295"/>
      <c r="D4" s="295"/>
      <c r="E4" s="295"/>
      <c r="F4" s="295"/>
      <c r="G4" s="295"/>
      <c r="H4" s="295"/>
      <c r="I4" s="295"/>
    </row>
    <row r="5" spans="2:9" ht="7.5" customHeight="1" x14ac:dyDescent="0.2">
      <c r="C5" s="118"/>
      <c r="D5" s="118"/>
      <c r="E5" s="118"/>
      <c r="F5" s="118"/>
      <c r="G5" s="118"/>
      <c r="H5" s="118"/>
      <c r="I5" s="118"/>
    </row>
    <row r="6" spans="2:9" x14ac:dyDescent="0.2">
      <c r="B6" s="119" t="s">
        <v>163</v>
      </c>
      <c r="C6" s="119"/>
      <c r="D6" s="119"/>
      <c r="E6" s="119"/>
      <c r="G6" s="120" t="s">
        <v>162</v>
      </c>
      <c r="I6" s="121"/>
    </row>
    <row r="7" spans="2:9" ht="14.25" x14ac:dyDescent="0.25">
      <c r="B7" s="2" t="s">
        <v>181</v>
      </c>
      <c r="E7" s="122">
        <f>IF(ISBLANK('Base Case'!$G$10),"",'Base Case'!$G$10)</f>
        <v>152.4</v>
      </c>
      <c r="G7" s="123" t="s">
        <v>24</v>
      </c>
      <c r="H7" s="123"/>
      <c r="I7" s="124">
        <f>IF(ISBLANK('Base Case'!$L$12),"",'Base Case'!$L$12)</f>
        <v>2.7</v>
      </c>
    </row>
    <row r="8" spans="2:9" ht="14.25" x14ac:dyDescent="0.25">
      <c r="B8" s="2" t="s">
        <v>182</v>
      </c>
      <c r="E8" s="125">
        <f>IF(ISBLANK('Base Case'!$G$11),"",'Base Case'!$G$11)</f>
        <v>1700</v>
      </c>
      <c r="G8" s="126" t="s">
        <v>183</v>
      </c>
      <c r="H8" s="126"/>
      <c r="I8" s="127">
        <f>IF(ISBLANK('Base Case'!$L$10),"",'Base Case'!$L$10)</f>
        <v>9</v>
      </c>
    </row>
    <row r="9" spans="2:9" ht="14.25" x14ac:dyDescent="0.25">
      <c r="B9" s="2" t="s">
        <v>184</v>
      </c>
      <c r="E9" s="125">
        <f>IF(ISBLANK('Base Case'!$G$12),"",'Base Case'!$G$12)</f>
        <v>150</v>
      </c>
      <c r="G9" s="128" t="s">
        <v>185</v>
      </c>
      <c r="H9" s="128"/>
      <c r="I9" s="129">
        <f>IF(ISBLANK('Base Case'!$L$11),"",'Base Case'!$L$11)</f>
        <v>18</v>
      </c>
    </row>
    <row r="10" spans="2:9" x14ac:dyDescent="0.2">
      <c r="B10" s="128" t="s">
        <v>69</v>
      </c>
      <c r="C10" s="128"/>
      <c r="D10" s="128"/>
      <c r="E10" s="130" t="str">
        <f>IF(OR('Base Case'!G13="N",'Base Case'!G13="No"),"No",IF(OR('Base Case'!G13="Y",'Base Case'!G13="Yes"),"Yes",""))</f>
        <v>Yes</v>
      </c>
      <c r="G10" s="131"/>
      <c r="H10" s="131"/>
      <c r="I10" s="131"/>
    </row>
    <row r="12" spans="2:9" x14ac:dyDescent="0.2">
      <c r="B12" s="120" t="s">
        <v>74</v>
      </c>
      <c r="E12" s="132" t="str">
        <f>IF('Base Case'!$I$40=0,"AG Mill","SAG Mill")</f>
        <v>SAG Mill</v>
      </c>
      <c r="F12" s="132" t="s">
        <v>20</v>
      </c>
    </row>
    <row r="13" spans="2:9" x14ac:dyDescent="0.2">
      <c r="B13" s="123" t="s">
        <v>75</v>
      </c>
      <c r="C13" s="123"/>
      <c r="D13" s="123"/>
      <c r="E13" s="133">
        <f>IF(ISBLANK('Base Case'!$H$19),"",'Base Case'!$H$19)</f>
        <v>9</v>
      </c>
      <c r="F13" s="133">
        <f>IF(ISBLANK('Base Case'!$I$23),"",'Base Case'!$I$23)</f>
        <v>10.331297206045077</v>
      </c>
    </row>
    <row r="14" spans="2:9" x14ac:dyDescent="0.2">
      <c r="B14" s="126" t="s">
        <v>76</v>
      </c>
      <c r="C14" s="126"/>
      <c r="D14" s="126"/>
      <c r="E14" s="134">
        <f>IF(E13="","",SUM('Base Case'!H20:H22))</f>
        <v>-1.8</v>
      </c>
      <c r="F14" s="134">
        <f>IF(F13="","",SUM('Base Case'!I24:I26))</f>
        <v>-1.8134667030595555</v>
      </c>
    </row>
    <row r="15" spans="2:9" x14ac:dyDescent="0.2">
      <c r="B15" s="135" t="s">
        <v>73</v>
      </c>
      <c r="C15" s="135"/>
      <c r="D15" s="135"/>
      <c r="E15" s="136">
        <f>IF('Base Case'!H27="","",'Base Case'!H27)</f>
        <v>7.2</v>
      </c>
      <c r="F15" s="136">
        <f>IF('Base Case'!I27="","",'Base Case'!I27)</f>
        <v>8.5178305029855217</v>
      </c>
    </row>
    <row r="17" spans="2:9" ht="17.25" x14ac:dyDescent="0.3">
      <c r="B17" s="295" t="s">
        <v>68</v>
      </c>
      <c r="C17" s="295"/>
      <c r="D17" s="295"/>
      <c r="E17" s="295"/>
      <c r="F17" s="295"/>
      <c r="G17" s="295"/>
      <c r="H17" s="295"/>
      <c r="I17" s="295"/>
    </row>
    <row r="18" spans="2:9" ht="7.5" customHeight="1" x14ac:dyDescent="0.2"/>
    <row r="19" spans="2:9" x14ac:dyDescent="0.2">
      <c r="B19" s="126"/>
      <c r="C19" s="132" t="s">
        <v>141</v>
      </c>
      <c r="D19" s="132" t="s">
        <v>167</v>
      </c>
      <c r="E19" s="132" t="s">
        <v>143</v>
      </c>
      <c r="F19" s="132" t="s">
        <v>144</v>
      </c>
    </row>
    <row r="20" spans="2:9" x14ac:dyDescent="0.2">
      <c r="B20" s="128"/>
      <c r="C20" s="132" t="s">
        <v>39</v>
      </c>
      <c r="D20" s="132" t="s">
        <v>145</v>
      </c>
      <c r="E20" s="132" t="s">
        <v>168</v>
      </c>
      <c r="F20" s="132" t="s">
        <v>142</v>
      </c>
    </row>
    <row r="21" spans="2:9" x14ac:dyDescent="0.2">
      <c r="B21" s="2" t="str">
        <f>IF('Base Case'!$I$40=0,"AG Mill","SAG Mill")</f>
        <v>SAG Mill</v>
      </c>
      <c r="C21" s="137">
        <f>IF(ISBLANK('Base Case'!$F40),"",'Base Case'!$F40)</f>
        <v>75</v>
      </c>
      <c r="D21" s="138">
        <f>IF('Base Case'!$G40="","",'Base Case'!$G40)</f>
        <v>9.9258482099298284</v>
      </c>
      <c r="E21" s="131">
        <f>IF(ISBLANK('Base Case'!$H40),"",'Base Case'!$H40)</f>
        <v>26</v>
      </c>
      <c r="F21" s="131">
        <f>IF(ISBLANK('Base Case'!$I40),"",'Base Case'!$I40)</f>
        <v>10</v>
      </c>
    </row>
    <row r="22" spans="2:9" x14ac:dyDescent="0.2">
      <c r="B22" s="128" t="s">
        <v>20</v>
      </c>
      <c r="C22" s="139">
        <f>IF(ISBLANK('Base Case'!$F41),"",'Base Case'!$F41)</f>
        <v>75</v>
      </c>
      <c r="D22" s="140">
        <f>IF('Base Case'!$G41="","",'Base Case'!$G41)</f>
        <v>12.389985641075073</v>
      </c>
      <c r="E22" s="128"/>
      <c r="F22" s="128">
        <f>IF(ISBLANK('Base Case'!$I41),"",'Base Case'!$I41)</f>
        <v>35</v>
      </c>
    </row>
    <row r="24" spans="2:9" ht="17.25" x14ac:dyDescent="0.3">
      <c r="B24" s="295" t="s">
        <v>165</v>
      </c>
      <c r="C24" s="295"/>
      <c r="D24" s="295"/>
      <c r="E24" s="295"/>
      <c r="F24" s="295"/>
      <c r="G24" s="295"/>
      <c r="H24" s="295"/>
      <c r="I24" s="295"/>
    </row>
    <row r="25" spans="2:9" ht="7.5" customHeight="1" x14ac:dyDescent="0.2">
      <c r="B25" s="293"/>
      <c r="C25" s="293"/>
      <c r="D25" s="293"/>
      <c r="E25" s="293"/>
      <c r="F25" s="293"/>
      <c r="G25" s="293"/>
      <c r="H25" s="293"/>
      <c r="I25" s="293"/>
    </row>
    <row r="26" spans="2:9" x14ac:dyDescent="0.2">
      <c r="B26" s="126"/>
      <c r="C26" s="141" t="s">
        <v>71</v>
      </c>
      <c r="D26" s="292" t="s">
        <v>72</v>
      </c>
      <c r="E26" s="292"/>
      <c r="F26" s="292" t="s">
        <v>137</v>
      </c>
      <c r="G26" s="292"/>
      <c r="H26" s="142" t="s">
        <v>13</v>
      </c>
      <c r="I26" s="141" t="s">
        <v>157</v>
      </c>
    </row>
    <row r="27" spans="2:9" x14ac:dyDescent="0.2">
      <c r="B27" s="128"/>
      <c r="C27" s="143"/>
      <c r="D27" s="143" t="s">
        <v>59</v>
      </c>
      <c r="E27" s="143" t="s">
        <v>60</v>
      </c>
      <c r="F27" s="143" t="s">
        <v>1</v>
      </c>
      <c r="G27" s="143" t="s">
        <v>0</v>
      </c>
      <c r="H27" s="144" t="s">
        <v>4</v>
      </c>
      <c r="I27" s="144" t="s">
        <v>155</v>
      </c>
    </row>
    <row r="28" spans="2:9" x14ac:dyDescent="0.2">
      <c r="B28" s="2" t="str">
        <f>IF('Base Case'!$I$40=0,"AG Mill","SAG Mill")</f>
        <v>SAG Mill</v>
      </c>
      <c r="C28" s="145">
        <f>IF(ISBLANK('Base Case'!$F$31),"",'Base Case'!$F$31)</f>
        <v>1</v>
      </c>
      <c r="D28" s="146">
        <f>IF('Base Case'!$F$46="","",'Base Case'!$F$46)</f>
        <v>33.5</v>
      </c>
      <c r="E28" s="147">
        <f>IF('Base Case'!$G$46="","",'Base Case'!$G$46)</f>
        <v>13.31</v>
      </c>
      <c r="F28" s="148">
        <f>IFERROR(G28/1.341,"")</f>
        <v>8400</v>
      </c>
      <c r="G28" s="149">
        <f>IF(ISBLANK('Base Case'!$K$31),"",'Base Case'!$K$31)</f>
        <v>11264.4</v>
      </c>
      <c r="H28" s="150">
        <f>IF(ISBLANK('Base Case'!$J$40),"",'Base Case'!$J$40)</f>
        <v>10</v>
      </c>
      <c r="I28" s="151">
        <f>IF('Base Case'!$M$31=0,"",'Base Case'!$M$31)</f>
        <v>1000.5717552887363</v>
      </c>
    </row>
    <row r="29" spans="2:9" x14ac:dyDescent="0.2">
      <c r="B29" s="128" t="s">
        <v>20</v>
      </c>
      <c r="C29" s="152">
        <f>IF(ISBLANK('Base Case'!$F$32),"",'Base Case'!$F$32)</f>
        <v>1</v>
      </c>
      <c r="D29" s="153">
        <f>IF('Base Case'!$F$47="","",'Base Case'!$F$47)</f>
        <v>21.5</v>
      </c>
      <c r="E29" s="154">
        <f>IF('Base Case'!$G$47="","",'Base Case'!$G$47)</f>
        <v>36.15</v>
      </c>
      <c r="F29" s="155">
        <f>IFERROR(G29/1.341,"")</f>
        <v>9500</v>
      </c>
      <c r="G29" s="156">
        <f>IF(ISBLANK('Base Case'!$K$32),"",'Base Case'!$K$32)</f>
        <v>12739.5</v>
      </c>
      <c r="H29" s="157">
        <f>IF(ISBLANK('Base Case'!$J$41),"",'Base Case'!$J$41)</f>
        <v>5</v>
      </c>
      <c r="I29" s="158">
        <f>IF('Base Case'!$M$32=0,"",'Base Case'!$M$32)</f>
        <v>1002.0731998099079</v>
      </c>
    </row>
    <row r="31" spans="2:9" ht="17.25" x14ac:dyDescent="0.3">
      <c r="B31" s="295" t="s">
        <v>170</v>
      </c>
      <c r="C31" s="295"/>
      <c r="D31" s="295"/>
      <c r="E31" s="295"/>
      <c r="F31" s="295"/>
      <c r="G31" s="295"/>
      <c r="H31" s="295"/>
      <c r="I31" s="295"/>
    </row>
    <row r="32" spans="2:9" ht="7.5" customHeight="1" x14ac:dyDescent="0.2">
      <c r="B32" s="293"/>
      <c r="C32" s="293"/>
      <c r="D32" s="293"/>
      <c r="E32" s="293"/>
      <c r="F32" s="293"/>
      <c r="G32" s="293"/>
      <c r="H32" s="293"/>
      <c r="I32" s="293"/>
    </row>
    <row r="33" spans="2:9" x14ac:dyDescent="0.2">
      <c r="B33" s="120"/>
      <c r="C33" s="294" t="s">
        <v>61</v>
      </c>
      <c r="D33" s="294"/>
      <c r="E33" s="294"/>
      <c r="F33" s="294"/>
      <c r="G33" s="294" t="s">
        <v>152</v>
      </c>
      <c r="H33" s="294"/>
      <c r="I33" s="120" t="s">
        <v>154</v>
      </c>
    </row>
    <row r="34" spans="2:9" x14ac:dyDescent="0.2">
      <c r="B34" s="120"/>
      <c r="C34" s="132" t="s">
        <v>60</v>
      </c>
      <c r="D34" s="132" t="s">
        <v>55</v>
      </c>
      <c r="E34" s="132" t="s">
        <v>56</v>
      </c>
      <c r="F34" s="132" t="s">
        <v>57</v>
      </c>
      <c r="G34" s="132" t="s">
        <v>1</v>
      </c>
      <c r="H34" s="132" t="s">
        <v>0</v>
      </c>
      <c r="I34" s="132" t="s">
        <v>155</v>
      </c>
    </row>
    <row r="35" spans="2:9" x14ac:dyDescent="0.2">
      <c r="B35" s="131" t="str">
        <f>IF('Base Case'!$I$40=0,"AG Mill","SAG Mill")</f>
        <v>SAG Mill</v>
      </c>
      <c r="C35" s="159">
        <f>IF('Base Case'!$G$46="","",'Base Case'!$G$46)</f>
        <v>13.31</v>
      </c>
      <c r="D35" s="160">
        <f>IF('Base Case'!H$46="","",'Base Case'!H$46)</f>
        <v>1273.1558048162196</v>
      </c>
      <c r="E35" s="161">
        <f>IF('Base Case'!I$46="","",'Base Case'!I$46)</f>
        <v>3.26</v>
      </c>
      <c r="F35" s="162">
        <f>IF('Base Case'!J$46="","",'Base Case'!J$46)</f>
        <v>0.18378099999999997</v>
      </c>
      <c r="G35" s="163">
        <f>IF(H35="","",H35/1.341)</f>
        <v>7570.9267180585193</v>
      </c>
      <c r="H35" s="164">
        <f>IF('Base Case'!L46=0,"",'Base Case'!L46)</f>
        <v>10152.612728916474</v>
      </c>
      <c r="I35" s="165">
        <f>IF('Base Case'!M46="","",'Base Case'!M46)</f>
        <v>991.99773559466962</v>
      </c>
    </row>
    <row r="36" spans="2:9" x14ac:dyDescent="0.2">
      <c r="B36" s="128" t="s">
        <v>20</v>
      </c>
      <c r="C36" s="166">
        <f>IF('Base Case'!$G$47="","",'Base Case'!$G$47)</f>
        <v>36.15</v>
      </c>
      <c r="D36" s="154">
        <f>IF('Base Case'!H$47="","",'Base Case'!H$47)</f>
        <v>379.4663744975033</v>
      </c>
      <c r="E36" s="167">
        <f>IF('Base Case'!I$47="","",'Base Case'!I$47)</f>
        <v>4.7666400000000007</v>
      </c>
      <c r="F36" s="168">
        <f>IF('Base Case'!J$47="","",'Base Case'!J$47)</f>
        <v>0.18378099999999997</v>
      </c>
      <c r="G36" s="169">
        <f>IF(H36="","",H36/1.341)</f>
        <v>8961.1920553051623</v>
      </c>
      <c r="H36" s="170">
        <f>IF('Base Case'!L47=0,"",'Base Case'!L47)</f>
        <v>12016.958546164222</v>
      </c>
      <c r="I36" s="171">
        <f>IF('Base Case'!M47="","",'Base Case'!M47)</f>
        <v>992.50093861255868</v>
      </c>
    </row>
    <row r="38" spans="2:9" x14ac:dyDescent="0.2">
      <c r="B38" s="120" t="s">
        <v>171</v>
      </c>
      <c r="C38" s="120"/>
      <c r="D38" s="120"/>
      <c r="E38" s="172">
        <f>IF('Base Case'!F49=0,"",'Base Case'!F49)</f>
        <v>991.99773559466962</v>
      </c>
      <c r="F38" s="120" t="s">
        <v>155</v>
      </c>
    </row>
    <row r="39" spans="2:9" x14ac:dyDescent="0.2">
      <c r="B39" s="120"/>
      <c r="C39" s="120"/>
      <c r="D39" s="120"/>
      <c r="E39" s="173">
        <f>IF(E38="","",E38*24)</f>
        <v>23807.945654272073</v>
      </c>
      <c r="F39" s="120" t="s">
        <v>156</v>
      </c>
    </row>
    <row r="40" spans="2:9" x14ac:dyDescent="0.2">
      <c r="E40" s="120" t="str">
        <f>IF('Base Case'!H49="","",'Base Case'!H49)</f>
        <v>Circuit is SAG mill limited</v>
      </c>
    </row>
    <row r="41" spans="2:9" x14ac:dyDescent="0.2">
      <c r="F41" s="122"/>
    </row>
    <row r="42" spans="2:9" x14ac:dyDescent="0.2">
      <c r="F42" s="122"/>
    </row>
  </sheetData>
  <mergeCells count="12">
    <mergeCell ref="C33:F33"/>
    <mergeCell ref="G33:H33"/>
    <mergeCell ref="B32:I32"/>
    <mergeCell ref="B4:I4"/>
    <mergeCell ref="B17:I17"/>
    <mergeCell ref="B24:I24"/>
    <mergeCell ref="B31:I31"/>
    <mergeCell ref="B1:I1"/>
    <mergeCell ref="B2:I2"/>
    <mergeCell ref="D26:E26"/>
    <mergeCell ref="B25:I25"/>
    <mergeCell ref="F26:G26"/>
  </mergeCells>
  <printOptions horizontalCentered="1"/>
  <pageMargins left="0.23622047244094491" right="0.23622047244094491" top="0.39370078740157483" bottom="0.59055118110236227" header="0.31496062992125984" footer="0.31496062992125984"/>
  <pageSetup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E30" sqref="E30"/>
    </sheetView>
  </sheetViews>
  <sheetFormatPr defaultRowHeight="12.75" x14ac:dyDescent="0.2"/>
  <cols>
    <col min="1" max="14" width="9.7109375" style="2" customWidth="1"/>
    <col min="15" max="31" width="9.140625" style="2"/>
    <col min="32" max="32" width="10.140625" style="2" customWidth="1"/>
    <col min="33" max="38" width="9.140625" style="2"/>
    <col min="39" max="40" width="10.5703125" style="2" bestFit="1" customWidth="1"/>
    <col min="41" max="42" width="9.140625" style="2"/>
    <col min="43" max="43" width="10.140625" style="2" bestFit="1" customWidth="1"/>
    <col min="44" max="16384" width="9.140625" style="2"/>
  </cols>
  <sheetData>
    <row r="1" spans="1:15" s="178" customFormat="1" x14ac:dyDescent="0.2">
      <c r="A1" s="174" t="s">
        <v>52</v>
      </c>
      <c r="B1" s="175"/>
      <c r="C1" s="175"/>
      <c r="D1" s="175"/>
      <c r="E1" s="175"/>
      <c r="F1" s="175"/>
      <c r="G1" s="176"/>
      <c r="H1" s="177" t="s">
        <v>85</v>
      </c>
      <c r="I1" s="177"/>
      <c r="J1" s="176"/>
      <c r="K1" s="92"/>
      <c r="L1" s="176"/>
      <c r="M1" s="176"/>
      <c r="N1" s="176"/>
      <c r="O1" s="176"/>
    </row>
    <row r="2" spans="1:15" ht="14.25" customHeight="1" x14ac:dyDescent="0.2">
      <c r="A2" s="179" t="s">
        <v>39</v>
      </c>
      <c r="B2" s="180" t="s">
        <v>50</v>
      </c>
      <c r="C2" s="180"/>
      <c r="D2" s="180" t="s">
        <v>40</v>
      </c>
      <c r="E2" s="181"/>
      <c r="F2" s="182" t="s">
        <v>83</v>
      </c>
      <c r="G2" s="92"/>
      <c r="H2" s="177" t="s">
        <v>86</v>
      </c>
      <c r="I2" s="177"/>
      <c r="J2" s="93"/>
      <c r="K2" s="177" t="s">
        <v>87</v>
      </c>
      <c r="L2" s="177"/>
      <c r="M2" s="177"/>
      <c r="N2" s="177"/>
      <c r="O2" s="177"/>
    </row>
    <row r="3" spans="1:15" ht="13.5" customHeight="1" x14ac:dyDescent="0.2">
      <c r="A3" s="183" t="s">
        <v>78</v>
      </c>
      <c r="B3" s="184" t="s">
        <v>80</v>
      </c>
      <c r="C3" s="184"/>
      <c r="D3" s="184" t="s">
        <v>46</v>
      </c>
      <c r="E3" s="185"/>
      <c r="F3" s="186" t="s">
        <v>38</v>
      </c>
      <c r="G3" s="92"/>
      <c r="H3" s="187" t="s">
        <v>9</v>
      </c>
      <c r="I3" s="188" t="s">
        <v>6</v>
      </c>
      <c r="J3" s="92"/>
      <c r="K3" s="189" t="s">
        <v>88</v>
      </c>
      <c r="L3" s="190" t="s">
        <v>89</v>
      </c>
      <c r="M3" s="190" t="s">
        <v>89</v>
      </c>
      <c r="N3" s="188" t="s">
        <v>82</v>
      </c>
      <c r="O3" s="92"/>
    </row>
    <row r="4" spans="1:15" x14ac:dyDescent="0.2">
      <c r="A4" s="183" t="s">
        <v>79</v>
      </c>
      <c r="B4" s="184" t="s">
        <v>81</v>
      </c>
      <c r="C4" s="184"/>
      <c r="D4" s="184" t="s">
        <v>45</v>
      </c>
      <c r="E4" s="185"/>
      <c r="F4" s="186" t="s">
        <v>37</v>
      </c>
      <c r="G4" s="92"/>
      <c r="H4" s="191" t="s">
        <v>8</v>
      </c>
      <c r="I4" s="192" t="s">
        <v>84</v>
      </c>
      <c r="J4" s="92"/>
      <c r="K4" s="193" t="s">
        <v>93</v>
      </c>
      <c r="L4" s="194" t="s">
        <v>38</v>
      </c>
      <c r="M4" s="194" t="s">
        <v>37</v>
      </c>
      <c r="N4" s="192" t="s">
        <v>37</v>
      </c>
      <c r="O4" s="92"/>
    </row>
    <row r="5" spans="1:15" x14ac:dyDescent="0.2">
      <c r="A5" s="183"/>
      <c r="B5" s="184" t="s">
        <v>43</v>
      </c>
      <c r="C5" s="184"/>
      <c r="D5" s="184" t="s">
        <v>47</v>
      </c>
      <c r="E5" s="185"/>
      <c r="F5" s="186"/>
      <c r="G5" s="92"/>
      <c r="H5" s="195">
        <v>60</v>
      </c>
      <c r="I5" s="196">
        <v>0.13400000000000001</v>
      </c>
      <c r="J5" s="92"/>
      <c r="K5" s="197">
        <v>20</v>
      </c>
      <c r="L5" s="198">
        <v>3.44</v>
      </c>
      <c r="M5" s="198">
        <v>3.87</v>
      </c>
      <c r="N5" s="199">
        <v>4.3</v>
      </c>
      <c r="O5" s="92"/>
    </row>
    <row r="6" spans="1:15" x14ac:dyDescent="0.2">
      <c r="A6" s="183"/>
      <c r="B6" s="184" t="s">
        <v>42</v>
      </c>
      <c r="C6" s="184"/>
      <c r="D6" s="184" t="s">
        <v>48</v>
      </c>
      <c r="E6" s="185"/>
      <c r="F6" s="186"/>
      <c r="G6" s="92"/>
      <c r="H6" s="195">
        <f t="shared" ref="H6:H32" si="0">H5+1</f>
        <v>61</v>
      </c>
      <c r="I6" s="196">
        <v>0.13700000000000001</v>
      </c>
      <c r="J6" s="92"/>
      <c r="K6" s="197">
        <v>22</v>
      </c>
      <c r="L6" s="198">
        <v>3.66</v>
      </c>
      <c r="M6" s="198">
        <v>4.12</v>
      </c>
      <c r="N6" s="199">
        <v>4.57</v>
      </c>
      <c r="O6" s="92"/>
    </row>
    <row r="7" spans="1:15" x14ac:dyDescent="0.2">
      <c r="A7" s="200"/>
      <c r="B7" s="201" t="s">
        <v>44</v>
      </c>
      <c r="C7" s="201"/>
      <c r="D7" s="201"/>
      <c r="E7" s="202"/>
      <c r="F7" s="203"/>
      <c r="G7" s="92"/>
      <c r="H7" s="195">
        <f t="shared" si="0"/>
        <v>62</v>
      </c>
      <c r="I7" s="196">
        <v>0.14000000000000001</v>
      </c>
      <c r="J7" s="92"/>
      <c r="K7" s="197">
        <v>24</v>
      </c>
      <c r="L7" s="198">
        <v>3.84</v>
      </c>
      <c r="M7" s="198">
        <v>4.32</v>
      </c>
      <c r="N7" s="199">
        <v>4.8</v>
      </c>
      <c r="O7" s="92"/>
    </row>
    <row r="8" spans="1:15" x14ac:dyDescent="0.2">
      <c r="A8" s="175"/>
      <c r="B8" s="175"/>
      <c r="C8" s="175"/>
      <c r="D8" s="175"/>
      <c r="E8" s="175"/>
      <c r="F8" s="175"/>
      <c r="G8" s="92"/>
      <c r="H8" s="195">
        <f t="shared" si="0"/>
        <v>63</v>
      </c>
      <c r="I8" s="196">
        <v>0.14299999999999999</v>
      </c>
      <c r="J8" s="92"/>
      <c r="K8" s="197">
        <v>26</v>
      </c>
      <c r="L8" s="198">
        <v>4.0599999999999996</v>
      </c>
      <c r="M8" s="198">
        <v>4.57</v>
      </c>
      <c r="N8" s="199">
        <v>5.07</v>
      </c>
      <c r="O8" s="92"/>
    </row>
    <row r="9" spans="1:15" x14ac:dyDescent="0.2">
      <c r="A9" s="180" t="s">
        <v>53</v>
      </c>
      <c r="B9" s="180" t="s">
        <v>54</v>
      </c>
      <c r="C9" s="175"/>
      <c r="D9" s="175"/>
      <c r="E9" s="175"/>
      <c r="F9" s="175"/>
      <c r="G9" s="92"/>
      <c r="H9" s="195">
        <f t="shared" si="0"/>
        <v>64</v>
      </c>
      <c r="I9" s="196">
        <v>0.14599999999999999</v>
      </c>
      <c r="J9" s="92"/>
      <c r="K9" s="197">
        <v>28</v>
      </c>
      <c r="L9" s="198">
        <v>4.24</v>
      </c>
      <c r="M9" s="198">
        <v>4.7699999999999996</v>
      </c>
      <c r="N9" s="199">
        <v>5.31</v>
      </c>
      <c r="O9" s="92"/>
    </row>
    <row r="10" spans="1:15" x14ac:dyDescent="0.2">
      <c r="A10" s="184">
        <v>122</v>
      </c>
      <c r="B10" s="204">
        <v>1.3</v>
      </c>
      <c r="C10" s="175"/>
      <c r="D10" s="175"/>
      <c r="E10" s="175"/>
      <c r="F10" s="175"/>
      <c r="G10" s="92"/>
      <c r="H10" s="195">
        <f t="shared" si="0"/>
        <v>65</v>
      </c>
      <c r="I10" s="196">
        <v>0.14899999999999999</v>
      </c>
      <c r="J10" s="92"/>
      <c r="K10" s="197">
        <v>30</v>
      </c>
      <c r="L10" s="198">
        <v>4.42</v>
      </c>
      <c r="M10" s="198">
        <v>4.97</v>
      </c>
      <c r="N10" s="199">
        <v>5.53</v>
      </c>
      <c r="O10" s="92"/>
    </row>
    <row r="11" spans="1:15" x14ac:dyDescent="0.2">
      <c r="A11" s="184">
        <v>113</v>
      </c>
      <c r="B11" s="204">
        <v>1.1000000000000001</v>
      </c>
      <c r="C11" s="175"/>
      <c r="D11" s="175"/>
      <c r="E11" s="175"/>
      <c r="F11" s="175"/>
      <c r="G11" s="92"/>
      <c r="H11" s="195">
        <f t="shared" si="0"/>
        <v>66</v>
      </c>
      <c r="I11" s="196">
        <v>0.15210000000000001</v>
      </c>
      <c r="J11" s="92"/>
      <c r="K11" s="197">
        <v>32</v>
      </c>
      <c r="L11" s="198">
        <v>4.57</v>
      </c>
      <c r="M11" s="198">
        <v>5.14</v>
      </c>
      <c r="N11" s="199">
        <v>5.71</v>
      </c>
      <c r="O11" s="92"/>
    </row>
    <row r="12" spans="1:15" x14ac:dyDescent="0.2">
      <c r="A12" s="184">
        <v>143</v>
      </c>
      <c r="B12" s="204">
        <v>1.08</v>
      </c>
      <c r="C12" s="175"/>
      <c r="D12" s="175"/>
      <c r="E12" s="175"/>
      <c r="F12" s="175"/>
      <c r="G12" s="92"/>
      <c r="H12" s="195">
        <f t="shared" si="0"/>
        <v>67</v>
      </c>
      <c r="I12" s="196">
        <v>0.1552</v>
      </c>
      <c r="J12" s="92"/>
      <c r="K12" s="197">
        <v>34</v>
      </c>
      <c r="L12" s="198">
        <v>4.72</v>
      </c>
      <c r="M12" s="198">
        <v>5.32</v>
      </c>
      <c r="N12" s="199">
        <v>5.9</v>
      </c>
      <c r="O12" s="92"/>
    </row>
    <row r="13" spans="1:15" x14ac:dyDescent="0.2">
      <c r="A13" s="184">
        <v>131</v>
      </c>
      <c r="B13" s="204">
        <v>1.06</v>
      </c>
      <c r="C13" s="175"/>
      <c r="D13" s="175"/>
      <c r="E13" s="175"/>
      <c r="F13" s="175"/>
      <c r="G13" s="92"/>
      <c r="H13" s="195">
        <f t="shared" si="0"/>
        <v>68</v>
      </c>
      <c r="I13" s="196">
        <v>0.1583</v>
      </c>
      <c r="J13" s="92"/>
      <c r="K13" s="197">
        <v>36</v>
      </c>
      <c r="L13" s="198">
        <v>4.84</v>
      </c>
      <c r="M13" s="198">
        <v>5.45</v>
      </c>
      <c r="N13" s="199">
        <v>6.05</v>
      </c>
      <c r="O13" s="92"/>
    </row>
    <row r="14" spans="1:15" x14ac:dyDescent="0.2">
      <c r="A14" s="184">
        <v>231</v>
      </c>
      <c r="B14" s="204">
        <v>1.06</v>
      </c>
      <c r="C14" s="175"/>
      <c r="D14" s="175"/>
      <c r="E14" s="175"/>
      <c r="F14" s="175"/>
      <c r="G14" s="92"/>
      <c r="H14" s="195">
        <f t="shared" si="0"/>
        <v>69</v>
      </c>
      <c r="I14" s="196">
        <v>0.16250000000000001</v>
      </c>
      <c r="J14" s="92"/>
      <c r="K14" s="197">
        <v>38</v>
      </c>
      <c r="L14" s="198">
        <v>4.93</v>
      </c>
      <c r="M14" s="198">
        <v>5.55</v>
      </c>
      <c r="N14" s="199">
        <v>6.16</v>
      </c>
      <c r="O14" s="92"/>
    </row>
    <row r="15" spans="1:15" x14ac:dyDescent="0.2">
      <c r="A15" s="184">
        <v>243</v>
      </c>
      <c r="B15" s="204">
        <v>1.0900000000000001</v>
      </c>
      <c r="C15" s="175"/>
      <c r="D15" s="175"/>
      <c r="E15" s="175"/>
      <c r="F15" s="175"/>
      <c r="G15" s="92"/>
      <c r="H15" s="195">
        <f t="shared" si="0"/>
        <v>70</v>
      </c>
      <c r="I15" s="196">
        <v>0.16569999999999999</v>
      </c>
      <c r="J15" s="92"/>
      <c r="K15" s="197">
        <v>40</v>
      </c>
      <c r="L15" s="198">
        <v>5.0199999999999996</v>
      </c>
      <c r="M15" s="198">
        <v>5.65</v>
      </c>
      <c r="N15" s="199">
        <v>6.27</v>
      </c>
      <c r="O15" s="92"/>
    </row>
    <row r="16" spans="1:15" x14ac:dyDescent="0.2">
      <c r="A16" s="201">
        <v>254</v>
      </c>
      <c r="B16" s="205">
        <v>1.02</v>
      </c>
      <c r="C16" s="175"/>
      <c r="D16" s="175"/>
      <c r="E16" s="175"/>
      <c r="F16" s="175"/>
      <c r="G16" s="92"/>
      <c r="H16" s="195">
        <f t="shared" si="0"/>
        <v>71</v>
      </c>
      <c r="I16" s="196">
        <v>0.16900000000000001</v>
      </c>
      <c r="J16" s="92"/>
      <c r="K16" s="197">
        <v>42</v>
      </c>
      <c r="L16" s="198">
        <v>5.08</v>
      </c>
      <c r="M16" s="198">
        <v>5.7</v>
      </c>
      <c r="N16" s="199">
        <v>6.34</v>
      </c>
      <c r="O16" s="92"/>
    </row>
    <row r="17" spans="1:15" x14ac:dyDescent="0.2">
      <c r="A17" s="92"/>
      <c r="B17" s="92"/>
      <c r="C17" s="92"/>
      <c r="D17" s="92"/>
      <c r="E17" s="92"/>
      <c r="F17" s="92"/>
      <c r="G17" s="92"/>
      <c r="H17" s="195">
        <f t="shared" si="0"/>
        <v>72</v>
      </c>
      <c r="I17" s="196">
        <v>0.1724</v>
      </c>
      <c r="J17" s="92"/>
      <c r="K17" s="197">
        <v>44</v>
      </c>
      <c r="L17" s="198">
        <v>5.13</v>
      </c>
      <c r="M17" s="198">
        <v>5.77</v>
      </c>
      <c r="N17" s="199">
        <v>6.41</v>
      </c>
      <c r="O17" s="92"/>
    </row>
    <row r="18" spans="1:15" x14ac:dyDescent="0.2">
      <c r="A18" s="92"/>
      <c r="B18" s="92"/>
      <c r="C18" s="92"/>
      <c r="D18" s="92"/>
      <c r="E18" s="92"/>
      <c r="F18" s="92"/>
      <c r="G18" s="92"/>
      <c r="H18" s="195">
        <f t="shared" si="0"/>
        <v>73</v>
      </c>
      <c r="I18" s="196">
        <v>0.17599999999999999</v>
      </c>
      <c r="J18" s="92"/>
      <c r="K18" s="197">
        <v>46</v>
      </c>
      <c r="L18" s="198">
        <v>5.17</v>
      </c>
      <c r="M18" s="198">
        <v>5.82</v>
      </c>
      <c r="N18" s="199">
        <v>6.46</v>
      </c>
      <c r="O18" s="92"/>
    </row>
    <row r="19" spans="1:15" x14ac:dyDescent="0.2">
      <c r="A19" s="92"/>
      <c r="B19" s="92"/>
      <c r="C19" s="92"/>
      <c r="D19" s="92"/>
      <c r="E19" s="92"/>
      <c r="F19" s="92"/>
      <c r="G19" s="92"/>
      <c r="H19" s="195">
        <f t="shared" si="0"/>
        <v>74</v>
      </c>
      <c r="I19" s="196">
        <v>0.17979999999999999</v>
      </c>
      <c r="J19" s="92"/>
      <c r="K19" s="197">
        <v>48</v>
      </c>
      <c r="L19" s="198">
        <v>5.19</v>
      </c>
      <c r="M19" s="198">
        <v>5.84</v>
      </c>
      <c r="N19" s="199">
        <v>6.49</v>
      </c>
      <c r="O19" s="92"/>
    </row>
    <row r="20" spans="1:15" x14ac:dyDescent="0.2">
      <c r="A20" s="92"/>
      <c r="B20" s="92"/>
      <c r="C20" s="92"/>
      <c r="D20" s="92"/>
      <c r="E20" s="92"/>
      <c r="F20" s="92"/>
      <c r="G20" s="92"/>
      <c r="H20" s="195">
        <f t="shared" si="0"/>
        <v>75</v>
      </c>
      <c r="I20" s="196">
        <v>0.18379999999999999</v>
      </c>
      <c r="J20" s="92"/>
      <c r="K20" s="206">
        <v>50</v>
      </c>
      <c r="L20" s="207">
        <v>5.2</v>
      </c>
      <c r="M20" s="207">
        <v>5.85</v>
      </c>
      <c r="N20" s="208">
        <v>6.5</v>
      </c>
      <c r="O20" s="92"/>
    </row>
    <row r="21" spans="1:15" x14ac:dyDescent="0.2">
      <c r="A21" s="92"/>
      <c r="B21" s="92"/>
      <c r="C21" s="92"/>
      <c r="D21" s="92"/>
      <c r="E21" s="92"/>
      <c r="F21" s="92"/>
      <c r="G21" s="92"/>
      <c r="H21" s="195">
        <f t="shared" si="0"/>
        <v>76</v>
      </c>
      <c r="I21" s="196">
        <v>0.18779999999999999</v>
      </c>
      <c r="J21" s="92"/>
      <c r="K21" s="92"/>
      <c r="L21" s="92"/>
      <c r="M21" s="92"/>
      <c r="N21" s="92"/>
      <c r="O21" s="92"/>
    </row>
    <row r="22" spans="1:15" x14ac:dyDescent="0.2">
      <c r="A22" s="92"/>
      <c r="B22" s="92"/>
      <c r="C22" s="92"/>
      <c r="D22" s="92"/>
      <c r="E22" s="92"/>
      <c r="F22" s="92"/>
      <c r="G22" s="92"/>
      <c r="H22" s="195">
        <f t="shared" si="0"/>
        <v>77</v>
      </c>
      <c r="I22" s="196">
        <v>0.1918</v>
      </c>
      <c r="J22" s="92"/>
      <c r="K22" s="177" t="s">
        <v>96</v>
      </c>
      <c r="L22" s="177"/>
      <c r="M22" s="177"/>
      <c r="N22" s="92"/>
      <c r="O22" s="92"/>
    </row>
    <row r="23" spans="1:15" x14ac:dyDescent="0.2">
      <c r="A23" s="92"/>
      <c r="B23" s="92"/>
      <c r="C23" s="92"/>
      <c r="D23" s="92"/>
      <c r="E23" s="92"/>
      <c r="F23" s="92"/>
      <c r="G23" s="92"/>
      <c r="H23" s="195">
        <f t="shared" si="0"/>
        <v>78</v>
      </c>
      <c r="I23" s="196">
        <v>0.1958</v>
      </c>
      <c r="J23" s="92"/>
      <c r="K23" s="209" t="s">
        <v>90</v>
      </c>
      <c r="L23" s="210"/>
      <c r="M23" s="211">
        <v>0.6</v>
      </c>
      <c r="N23" s="212"/>
      <c r="O23" s="92"/>
    </row>
    <row r="24" spans="1:15" x14ac:dyDescent="0.2">
      <c r="A24" s="92"/>
      <c r="B24" s="92"/>
      <c r="C24" s="92"/>
      <c r="D24" s="92"/>
      <c r="E24" s="92"/>
      <c r="F24" s="92"/>
      <c r="G24" s="92"/>
      <c r="H24" s="195">
        <f t="shared" si="0"/>
        <v>79</v>
      </c>
      <c r="I24" s="196">
        <v>0.19989999999999999</v>
      </c>
      <c r="J24" s="92"/>
      <c r="K24" s="213" t="s">
        <v>91</v>
      </c>
      <c r="L24" s="184"/>
      <c r="M24" s="214">
        <v>1</v>
      </c>
      <c r="N24" s="212"/>
      <c r="O24" s="92"/>
    </row>
    <row r="25" spans="1:15" x14ac:dyDescent="0.2">
      <c r="A25" s="92"/>
      <c r="B25" s="92"/>
      <c r="C25" s="92"/>
      <c r="D25" s="92"/>
      <c r="E25" s="92"/>
      <c r="F25" s="92"/>
      <c r="G25" s="92"/>
      <c r="H25" s="195">
        <f t="shared" si="0"/>
        <v>80</v>
      </c>
      <c r="I25" s="196">
        <v>0.20399999999999999</v>
      </c>
      <c r="J25" s="92"/>
      <c r="K25" s="213" t="s">
        <v>11</v>
      </c>
      <c r="L25" s="184"/>
      <c r="M25" s="215">
        <v>7.84</v>
      </c>
      <c r="N25" s="216"/>
      <c r="O25" s="92"/>
    </row>
    <row r="26" spans="1:15" x14ac:dyDescent="0.2">
      <c r="A26" s="92"/>
      <c r="B26" s="92"/>
      <c r="C26" s="92"/>
      <c r="D26" s="92"/>
      <c r="E26" s="92"/>
      <c r="F26" s="92"/>
      <c r="G26" s="92"/>
      <c r="H26" s="195">
        <f t="shared" si="0"/>
        <v>81</v>
      </c>
      <c r="I26" s="196">
        <v>0.20810000000000001</v>
      </c>
      <c r="J26" s="92"/>
      <c r="K26" s="213" t="s">
        <v>58</v>
      </c>
      <c r="L26" s="184"/>
      <c r="M26" s="215">
        <f>IF('Base Case'!$L$12="",0,'Base Case'!$L$12)</f>
        <v>2.7</v>
      </c>
      <c r="N26" s="92"/>
      <c r="O26" s="92"/>
    </row>
    <row r="27" spans="1:15" x14ac:dyDescent="0.2">
      <c r="A27" s="92"/>
      <c r="B27" s="92"/>
      <c r="C27" s="92"/>
      <c r="D27" s="92"/>
      <c r="E27" s="92"/>
      <c r="F27" s="92"/>
      <c r="G27" s="92"/>
      <c r="H27" s="195">
        <f t="shared" si="0"/>
        <v>82</v>
      </c>
      <c r="I27" s="196">
        <v>0.21240000000000001</v>
      </c>
      <c r="J27" s="92"/>
      <c r="K27" s="213" t="s">
        <v>12</v>
      </c>
      <c r="L27" s="184"/>
      <c r="M27" s="215">
        <v>1</v>
      </c>
      <c r="N27" s="92"/>
      <c r="O27" s="92"/>
    </row>
    <row r="28" spans="1:15" x14ac:dyDescent="0.2">
      <c r="A28" s="92"/>
      <c r="B28" s="92"/>
      <c r="C28" s="92"/>
      <c r="D28" s="92"/>
      <c r="E28" s="92"/>
      <c r="F28" s="92"/>
      <c r="G28" s="92"/>
      <c r="H28" s="195">
        <f t="shared" si="0"/>
        <v>83</v>
      </c>
      <c r="I28" s="196">
        <v>0.21659999999999999</v>
      </c>
      <c r="J28" s="92"/>
      <c r="K28" s="213" t="s">
        <v>70</v>
      </c>
      <c r="L28" s="184"/>
      <c r="M28" s="217">
        <f>IF(ISBLANK('Base Case'!$I$40),"",'Base Case'!$I$40)</f>
        <v>10</v>
      </c>
      <c r="N28" s="92"/>
      <c r="O28" s="92"/>
    </row>
    <row r="29" spans="1:15" x14ac:dyDescent="0.2">
      <c r="A29" s="92"/>
      <c r="B29" s="92"/>
      <c r="C29" s="92"/>
      <c r="D29" s="92"/>
      <c r="E29" s="92"/>
      <c r="F29" s="92"/>
      <c r="G29" s="92"/>
      <c r="H29" s="195">
        <f t="shared" si="0"/>
        <v>84</v>
      </c>
      <c r="I29" s="196">
        <v>0.2208</v>
      </c>
      <c r="J29" s="92"/>
      <c r="K29" s="218" t="s">
        <v>92</v>
      </c>
      <c r="L29" s="201"/>
      <c r="M29" s="219">
        <f>IF(ISBLANK('Base Case'!$H$40),"",'Base Case'!$H$40)</f>
        <v>26</v>
      </c>
      <c r="N29" s="92"/>
      <c r="O29" s="92"/>
    </row>
    <row r="30" spans="1:15" x14ac:dyDescent="0.2">
      <c r="A30" s="92"/>
      <c r="B30" s="92"/>
      <c r="C30" s="92"/>
      <c r="D30" s="92"/>
      <c r="E30" s="92"/>
      <c r="F30" s="92"/>
      <c r="G30" s="92"/>
      <c r="H30" s="195">
        <f t="shared" si="0"/>
        <v>85</v>
      </c>
      <c r="I30" s="196">
        <v>0.22509999999999999</v>
      </c>
      <c r="J30" s="92"/>
      <c r="K30" s="220" t="s">
        <v>62</v>
      </c>
      <c r="L30" s="296" t="s">
        <v>17</v>
      </c>
      <c r="M30" s="297"/>
      <c r="N30" s="92"/>
      <c r="O30" s="92"/>
    </row>
    <row r="31" spans="1:15" x14ac:dyDescent="0.2">
      <c r="A31" s="92"/>
      <c r="B31" s="92"/>
      <c r="C31" s="92"/>
      <c r="D31" s="92"/>
      <c r="E31" s="92"/>
      <c r="F31" s="92"/>
      <c r="G31" s="92"/>
      <c r="H31" s="195">
        <f t="shared" si="0"/>
        <v>86</v>
      </c>
      <c r="I31" s="196">
        <v>0.22939999999999999</v>
      </c>
      <c r="J31" s="92"/>
      <c r="K31" s="221" t="s">
        <v>94</v>
      </c>
      <c r="L31" s="194" t="s">
        <v>7</v>
      </c>
      <c r="M31" s="192" t="s">
        <v>15</v>
      </c>
      <c r="N31" s="92"/>
      <c r="O31" s="92"/>
    </row>
    <row r="32" spans="1:15" x14ac:dyDescent="0.2">
      <c r="A32" s="92"/>
      <c r="B32" s="92"/>
      <c r="C32" s="92"/>
      <c r="D32" s="92"/>
      <c r="E32" s="92"/>
      <c r="F32" s="92"/>
      <c r="G32" s="92"/>
      <c r="H32" s="222">
        <f t="shared" si="0"/>
        <v>87</v>
      </c>
      <c r="I32" s="223">
        <v>0.23369999999999999</v>
      </c>
      <c r="J32" s="92"/>
      <c r="K32" s="224">
        <f>IF($M$29="",0,(-0.0023*$M$29^2+0.2276*$M$29+0.216)*($L$32/$M$32))</f>
        <v>3.0764040855410144</v>
      </c>
      <c r="L32" s="225">
        <f>IF(OR($M$26="",$M$29="",$M$28=""),0,$M$28*$M$23*$M$25+($M$29-$M$28*$M$23)*$M$26)</f>
        <v>101.03999999999999</v>
      </c>
      <c r="M32" s="226">
        <f>IF(OR($M$29="",$M$26=0),0,$M$29*$M$23*$M$25+$M$29*(1-$M23)*$M$26)</f>
        <v>150.38400000000001</v>
      </c>
      <c r="N32" s="92"/>
      <c r="O32" s="92"/>
    </row>
    <row r="33" spans="1:15" x14ac:dyDescent="0.2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</sheetData>
  <mergeCells count="1">
    <mergeCell ref="L30:M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About...</vt:lpstr>
      <vt:lpstr>Base Case</vt:lpstr>
      <vt:lpstr>Report</vt:lpstr>
      <vt:lpstr>Tables</vt:lpstr>
      <vt:lpstr>'Base Case'!BMDischargeType</vt:lpstr>
      <vt:lpstr>'Base Case'!MotorSpeedType</vt:lpstr>
      <vt:lpstr>'Base Case'!MotorTransmissionType</vt:lpstr>
      <vt:lpstr>'Base Case'!MotorType</vt:lpstr>
      <vt:lpstr>'Base Case'!Print_Area</vt:lpstr>
      <vt:lpstr>Report!Print_Area</vt:lpstr>
    </vt:vector>
  </TitlesOfParts>
  <Company>Starkey &amp; Assocciates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H.Starkey,  P. Eng.</dc:creator>
  <cp:lastModifiedBy>Jenna Hedderson</cp:lastModifiedBy>
  <cp:lastPrinted>2014-09-09T19:11:59Z</cp:lastPrinted>
  <dcterms:created xsi:type="dcterms:W3CDTF">2002-11-13T16:48:53Z</dcterms:created>
  <dcterms:modified xsi:type="dcterms:W3CDTF">2015-11-10T15:55:49Z</dcterms:modified>
</cp:coreProperties>
</file>